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меню" sheetId="1" r:id="rId1"/>
    <sheet name="Лист2" sheetId="2" r:id="rId2"/>
    <sheet name="титул" sheetId="3" r:id="rId3"/>
  </sheets>
  <calcPr calcId="145621"/>
</workbook>
</file>

<file path=xl/calcChain.xml><?xml version="1.0" encoding="utf-8"?>
<calcChain xmlns="http://schemas.openxmlformats.org/spreadsheetml/2006/main">
  <c r="R26" i="1" l="1"/>
  <c r="R24" i="1"/>
  <c r="P24" i="1"/>
  <c r="O24" i="1"/>
  <c r="N24" i="1"/>
  <c r="M24" i="1"/>
  <c r="K24" i="1"/>
  <c r="J24" i="1"/>
  <c r="I24" i="1"/>
  <c r="H24" i="1"/>
  <c r="G24" i="1"/>
  <c r="F24" i="1"/>
  <c r="O22" i="1"/>
  <c r="N22" i="1"/>
  <c r="L22" i="1"/>
  <c r="K22" i="1"/>
  <c r="J22" i="1"/>
  <c r="G22" i="1"/>
  <c r="F22" i="1"/>
  <c r="D22" i="1"/>
  <c r="R21" i="1"/>
  <c r="P21" i="1"/>
  <c r="P22" i="1" s="1"/>
  <c r="M21" i="1"/>
  <c r="M22" i="1" s="1"/>
  <c r="I21" i="1"/>
  <c r="I22" i="1" s="1"/>
  <c r="H21" i="1"/>
  <c r="H22" i="1" s="1"/>
  <c r="R20" i="1"/>
  <c r="E20" i="1"/>
  <c r="O20" i="1" s="1"/>
  <c r="E26" i="1"/>
  <c r="R15" i="1"/>
  <c r="R14" i="1"/>
  <c r="R12" i="1"/>
  <c r="R11" i="1"/>
  <c r="R10" i="1"/>
  <c r="R7" i="1"/>
  <c r="R6" i="1"/>
  <c r="R22" i="1" l="1"/>
  <c r="F20" i="1"/>
  <c r="H20" i="1"/>
  <c r="J20" i="1"/>
  <c r="L20" i="1"/>
  <c r="N20" i="1"/>
  <c r="P20" i="1"/>
  <c r="G20" i="1"/>
  <c r="I20" i="1"/>
  <c r="K20" i="1"/>
  <c r="M20" i="1"/>
  <c r="Y175" i="2" l="1"/>
  <c r="Y177" i="2" s="1"/>
  <c r="V175" i="2"/>
  <c r="V177" i="2" s="1"/>
  <c r="N175" i="2"/>
  <c r="N177" i="2" s="1"/>
  <c r="F175" i="2"/>
  <c r="F177" i="2" s="1"/>
  <c r="X174" i="2"/>
  <c r="X175" i="2" s="1"/>
  <c r="X177" i="2" s="1"/>
  <c r="W174" i="2"/>
  <c r="W175" i="2" s="1"/>
  <c r="W177" i="2" s="1"/>
  <c r="V174" i="2"/>
  <c r="U174" i="2"/>
  <c r="U175" i="2" s="1"/>
  <c r="U177" i="2" s="1"/>
  <c r="T174" i="2"/>
  <c r="T175" i="2" s="1"/>
  <c r="T177" i="2" s="1"/>
  <c r="S174" i="2"/>
  <c r="S175" i="2" s="1"/>
  <c r="S177" i="2" s="1"/>
  <c r="R174" i="2"/>
  <c r="R175" i="2" s="1"/>
  <c r="R177" i="2" s="1"/>
  <c r="Q174" i="2"/>
  <c r="Q175" i="2" s="1"/>
  <c r="Q177" i="2" s="1"/>
  <c r="P174" i="2"/>
  <c r="P175" i="2" s="1"/>
  <c r="P177" i="2" s="1"/>
  <c r="O174" i="2"/>
  <c r="O175" i="2" s="1"/>
  <c r="O177" i="2" s="1"/>
  <c r="N174" i="2"/>
  <c r="M174" i="2"/>
  <c r="M175" i="2" s="1"/>
  <c r="M177" i="2" s="1"/>
  <c r="L174" i="2"/>
  <c r="L175" i="2" s="1"/>
  <c r="L177" i="2" s="1"/>
  <c r="K174" i="2"/>
  <c r="K175" i="2" s="1"/>
  <c r="K177" i="2" s="1"/>
  <c r="J174" i="2"/>
  <c r="J175" i="2" s="1"/>
  <c r="J177" i="2" s="1"/>
  <c r="I174" i="2"/>
  <c r="I175" i="2" s="1"/>
  <c r="I177" i="2" s="1"/>
  <c r="H174" i="2"/>
  <c r="H175" i="2" s="1"/>
  <c r="H177" i="2" s="1"/>
  <c r="G174" i="2"/>
  <c r="G175" i="2" s="1"/>
  <c r="G177" i="2" s="1"/>
  <c r="F174" i="2"/>
  <c r="E174" i="2"/>
  <c r="E175" i="2" s="1"/>
  <c r="E177" i="2" s="1"/>
  <c r="D174" i="2"/>
  <c r="D175" i="2" s="1"/>
  <c r="D177" i="2" s="1"/>
  <c r="C174" i="2"/>
  <c r="C175" i="2" s="1"/>
  <c r="C177" i="2" s="1"/>
  <c r="B174" i="2"/>
  <c r="B175" i="2" s="1"/>
  <c r="B177" i="2" s="1"/>
  <c r="Y142" i="2" l="1"/>
  <c r="Y144" i="2" s="1"/>
  <c r="T142" i="2"/>
  <c r="T144" i="2" s="1"/>
  <c r="L142" i="2"/>
  <c r="L144" i="2" s="1"/>
  <c r="D142" i="2"/>
  <c r="D144" i="2" s="1"/>
  <c r="X141" i="2"/>
  <c r="X142" i="2" s="1"/>
  <c r="X144" i="2" s="1"/>
  <c r="W141" i="2"/>
  <c r="W142" i="2" s="1"/>
  <c r="W144" i="2" s="1"/>
  <c r="V141" i="2"/>
  <c r="V142" i="2" s="1"/>
  <c r="V144" i="2" s="1"/>
  <c r="U141" i="2"/>
  <c r="U142" i="2" s="1"/>
  <c r="U144" i="2" s="1"/>
  <c r="T141" i="2"/>
  <c r="S141" i="2"/>
  <c r="S142" i="2" s="1"/>
  <c r="S144" i="2" s="1"/>
  <c r="R141" i="2"/>
  <c r="R142" i="2" s="1"/>
  <c r="R144" i="2" s="1"/>
  <c r="Q141" i="2"/>
  <c r="Q142" i="2" s="1"/>
  <c r="Q144" i="2" s="1"/>
  <c r="P141" i="2"/>
  <c r="P142" i="2" s="1"/>
  <c r="P144" i="2" s="1"/>
  <c r="O141" i="2"/>
  <c r="O142" i="2" s="1"/>
  <c r="O144" i="2" s="1"/>
  <c r="N141" i="2"/>
  <c r="N142" i="2" s="1"/>
  <c r="N144" i="2" s="1"/>
  <c r="M141" i="2"/>
  <c r="M142" i="2" s="1"/>
  <c r="M144" i="2" s="1"/>
  <c r="L141" i="2"/>
  <c r="K141" i="2"/>
  <c r="K142" i="2" s="1"/>
  <c r="K144" i="2" s="1"/>
  <c r="J141" i="2"/>
  <c r="J142" i="2" s="1"/>
  <c r="J144" i="2" s="1"/>
  <c r="I141" i="2"/>
  <c r="I142" i="2" s="1"/>
  <c r="I144" i="2" s="1"/>
  <c r="H141" i="2"/>
  <c r="H142" i="2" s="1"/>
  <c r="H144" i="2" s="1"/>
  <c r="G141" i="2"/>
  <c r="G142" i="2" s="1"/>
  <c r="G144" i="2" s="1"/>
  <c r="F141" i="2"/>
  <c r="F142" i="2" s="1"/>
  <c r="F144" i="2" s="1"/>
  <c r="E141" i="2"/>
  <c r="E142" i="2" s="1"/>
  <c r="E144" i="2" s="1"/>
  <c r="D141" i="2"/>
  <c r="C141" i="2"/>
  <c r="C142" i="2" s="1"/>
  <c r="C144" i="2" s="1"/>
  <c r="B141" i="2"/>
  <c r="B142" i="2" s="1"/>
  <c r="B144" i="2" s="1"/>
  <c r="Y109" i="2" l="1"/>
  <c r="Y111" i="2" s="1"/>
  <c r="R109" i="2"/>
  <c r="R111" i="2" s="1"/>
  <c r="J109" i="2"/>
  <c r="J111" i="2" s="1"/>
  <c r="B109" i="2"/>
  <c r="B111" i="2" s="1"/>
  <c r="X108" i="2"/>
  <c r="X109" i="2" s="1"/>
  <c r="X111" i="2" s="1"/>
  <c r="W108" i="2"/>
  <c r="W109" i="2" s="1"/>
  <c r="W111" i="2" s="1"/>
  <c r="V108" i="2"/>
  <c r="V109" i="2" s="1"/>
  <c r="V111" i="2" s="1"/>
  <c r="U108" i="2"/>
  <c r="U109" i="2" s="1"/>
  <c r="U111" i="2" s="1"/>
  <c r="T108" i="2"/>
  <c r="T109" i="2" s="1"/>
  <c r="T111" i="2" s="1"/>
  <c r="S108" i="2"/>
  <c r="S109" i="2" s="1"/>
  <c r="S111" i="2" s="1"/>
  <c r="R108" i="2"/>
  <c r="Q108" i="2"/>
  <c r="Q109" i="2" s="1"/>
  <c r="Q111" i="2" s="1"/>
  <c r="P108" i="2"/>
  <c r="P109" i="2" s="1"/>
  <c r="P111" i="2" s="1"/>
  <c r="O108" i="2"/>
  <c r="O109" i="2" s="1"/>
  <c r="O111" i="2" s="1"/>
  <c r="N108" i="2"/>
  <c r="N109" i="2" s="1"/>
  <c r="N111" i="2" s="1"/>
  <c r="M108" i="2"/>
  <c r="M109" i="2" s="1"/>
  <c r="M111" i="2" s="1"/>
  <c r="L108" i="2"/>
  <c r="L109" i="2" s="1"/>
  <c r="L111" i="2" s="1"/>
  <c r="K108" i="2"/>
  <c r="K109" i="2" s="1"/>
  <c r="K111" i="2" s="1"/>
  <c r="J108" i="2"/>
  <c r="I108" i="2"/>
  <c r="I109" i="2" s="1"/>
  <c r="I111" i="2" s="1"/>
  <c r="H108" i="2"/>
  <c r="H109" i="2" s="1"/>
  <c r="H111" i="2" s="1"/>
  <c r="G108" i="2"/>
  <c r="G109" i="2" s="1"/>
  <c r="G111" i="2" s="1"/>
  <c r="F108" i="2"/>
  <c r="F109" i="2" s="1"/>
  <c r="F111" i="2" s="1"/>
  <c r="E108" i="2"/>
  <c r="E109" i="2" s="1"/>
  <c r="E111" i="2" s="1"/>
  <c r="D108" i="2"/>
  <c r="D109" i="2" s="1"/>
  <c r="D111" i="2" s="1"/>
  <c r="C108" i="2"/>
  <c r="C109" i="2" s="1"/>
  <c r="C111" i="2" s="1"/>
  <c r="B108" i="2"/>
  <c r="Y77" i="2" l="1"/>
  <c r="Y79" i="2" s="1"/>
  <c r="T77" i="2"/>
  <c r="T79" i="2" s="1"/>
  <c r="L77" i="2"/>
  <c r="L79" i="2" s="1"/>
  <c r="C77" i="2"/>
  <c r="C79" i="2" s="1"/>
  <c r="X76" i="2"/>
  <c r="X77" i="2" s="1"/>
  <c r="X79" i="2" s="1"/>
  <c r="W76" i="2"/>
  <c r="W77" i="2" s="1"/>
  <c r="W79" i="2" s="1"/>
  <c r="V76" i="2"/>
  <c r="V77" i="2" s="1"/>
  <c r="V79" i="2" s="1"/>
  <c r="U76" i="2"/>
  <c r="U77" i="2" s="1"/>
  <c r="U79" i="2" s="1"/>
  <c r="T76" i="2"/>
  <c r="S76" i="2"/>
  <c r="S77" i="2" s="1"/>
  <c r="S79" i="2" s="1"/>
  <c r="R76" i="2"/>
  <c r="R77" i="2" s="1"/>
  <c r="R79" i="2" s="1"/>
  <c r="Q76" i="2"/>
  <c r="Q77" i="2" s="1"/>
  <c r="Q79" i="2" s="1"/>
  <c r="P76" i="2"/>
  <c r="P77" i="2" s="1"/>
  <c r="P79" i="2" s="1"/>
  <c r="O76" i="2"/>
  <c r="O77" i="2" s="1"/>
  <c r="O79" i="2" s="1"/>
  <c r="N76" i="2"/>
  <c r="N77" i="2" s="1"/>
  <c r="N79" i="2" s="1"/>
  <c r="M76" i="2"/>
  <c r="M77" i="2" s="1"/>
  <c r="M79" i="2" s="1"/>
  <c r="L76" i="2"/>
  <c r="K76" i="2"/>
  <c r="K77" i="2" s="1"/>
  <c r="K79" i="2" s="1"/>
  <c r="J76" i="2"/>
  <c r="J77" i="2" s="1"/>
  <c r="J79" i="2" s="1"/>
  <c r="I76" i="2"/>
  <c r="I77" i="2" s="1"/>
  <c r="I79" i="2" s="1"/>
  <c r="H76" i="2"/>
  <c r="H77" i="2" s="1"/>
  <c r="H79" i="2" s="1"/>
  <c r="G76" i="2"/>
  <c r="G77" i="2" s="1"/>
  <c r="G79" i="2" s="1"/>
  <c r="F76" i="2"/>
  <c r="F77" i="2" s="1"/>
  <c r="F79" i="2" s="1"/>
  <c r="E76" i="2"/>
  <c r="E77" i="2" s="1"/>
  <c r="E79" i="2" s="1"/>
  <c r="D76" i="2"/>
  <c r="D77" i="2" s="1"/>
  <c r="D79" i="2" s="1"/>
  <c r="C76" i="2"/>
  <c r="B76" i="2"/>
  <c r="B77" i="2" s="1"/>
  <c r="B79" i="2" s="1"/>
  <c r="Y45" i="2"/>
  <c r="Y47" i="2" s="1"/>
  <c r="S45" i="2"/>
  <c r="S47" i="2" s="1"/>
  <c r="Q45" i="2"/>
  <c r="Q47" i="2" s="1"/>
  <c r="K45" i="2"/>
  <c r="K47" i="2" s="1"/>
  <c r="I45" i="2"/>
  <c r="I47" i="2" s="1"/>
  <c r="C45" i="2"/>
  <c r="C47" i="2" s="1"/>
  <c r="X44" i="2"/>
  <c r="X45" i="2" s="1"/>
  <c r="X47" i="2" s="1"/>
  <c r="W44" i="2"/>
  <c r="W45" i="2" s="1"/>
  <c r="W47" i="2" s="1"/>
  <c r="V44" i="2"/>
  <c r="V45" i="2" s="1"/>
  <c r="V47" i="2" s="1"/>
  <c r="U44" i="2"/>
  <c r="U45" i="2" s="1"/>
  <c r="U47" i="2" s="1"/>
  <c r="T44" i="2"/>
  <c r="T45" i="2" s="1"/>
  <c r="T47" i="2" s="1"/>
  <c r="S44" i="2"/>
  <c r="R44" i="2"/>
  <c r="R45" i="2" s="1"/>
  <c r="R47" i="2" s="1"/>
  <c r="Q44" i="2"/>
  <c r="P44" i="2"/>
  <c r="P45" i="2" s="1"/>
  <c r="P47" i="2" s="1"/>
  <c r="O44" i="2"/>
  <c r="O45" i="2" s="1"/>
  <c r="O47" i="2" s="1"/>
  <c r="N44" i="2"/>
  <c r="N45" i="2" s="1"/>
  <c r="N47" i="2" s="1"/>
  <c r="M44" i="2"/>
  <c r="M45" i="2" s="1"/>
  <c r="M47" i="2" s="1"/>
  <c r="L44" i="2"/>
  <c r="L45" i="2" s="1"/>
  <c r="L47" i="2" s="1"/>
  <c r="K44" i="2"/>
  <c r="J44" i="2"/>
  <c r="J45" i="2" s="1"/>
  <c r="J47" i="2" s="1"/>
  <c r="I44" i="2"/>
  <c r="H44" i="2"/>
  <c r="H45" i="2" s="1"/>
  <c r="H47" i="2" s="1"/>
  <c r="G44" i="2"/>
  <c r="G45" i="2" s="1"/>
  <c r="G47" i="2" s="1"/>
  <c r="F44" i="2"/>
  <c r="F45" i="2" s="1"/>
  <c r="F47" i="2" s="1"/>
  <c r="E44" i="2"/>
  <c r="E45" i="2" s="1"/>
  <c r="E47" i="2" s="1"/>
  <c r="D44" i="2"/>
  <c r="D45" i="2" s="1"/>
  <c r="D47" i="2" s="1"/>
  <c r="C44" i="2"/>
  <c r="B44" i="2"/>
  <c r="B45" i="2" s="1"/>
  <c r="B47" i="2" s="1"/>
  <c r="W48" i="2" l="1"/>
  <c r="R18" i="1" l="1"/>
  <c r="P18" i="1"/>
  <c r="O18" i="1"/>
  <c r="N18" i="1"/>
  <c r="M18" i="1"/>
  <c r="J18" i="1"/>
  <c r="I18" i="1"/>
  <c r="H18" i="1"/>
  <c r="G18" i="1"/>
  <c r="F18" i="1"/>
  <c r="L16" i="1"/>
  <c r="C16" i="1"/>
  <c r="E15" i="1"/>
  <c r="J15" i="1" s="1"/>
  <c r="M14" i="1"/>
  <c r="E14" i="1"/>
  <c r="H14" i="1" s="1"/>
  <c r="R13" i="1"/>
  <c r="E13" i="1"/>
  <c r="P13" i="1" s="1"/>
  <c r="D12" i="1"/>
  <c r="E12" i="1" s="1"/>
  <c r="E11" i="1"/>
  <c r="O11" i="1" s="1"/>
  <c r="D10" i="1"/>
  <c r="E10" i="1" s="1"/>
  <c r="K8" i="1"/>
  <c r="C8" i="1"/>
  <c r="E7" i="1"/>
  <c r="N7" i="1" s="1"/>
  <c r="E6" i="1"/>
  <c r="M6" i="1" s="1"/>
  <c r="P6" i="1" l="1"/>
  <c r="L7" i="1"/>
  <c r="L8" i="1" s="1"/>
  <c r="G7" i="1"/>
  <c r="J6" i="1"/>
  <c r="J8" i="1" s="1"/>
  <c r="F7" i="1"/>
  <c r="K14" i="1"/>
  <c r="F14" i="1"/>
  <c r="P11" i="1"/>
  <c r="N11" i="1"/>
  <c r="I11" i="1"/>
  <c r="R16" i="1"/>
  <c r="P7" i="1"/>
  <c r="H11" i="1"/>
  <c r="E16" i="1"/>
  <c r="F10" i="1"/>
  <c r="M10" i="1"/>
  <c r="F6" i="1"/>
  <c r="M7" i="1"/>
  <c r="M8" i="1" s="1"/>
  <c r="F11" i="1"/>
  <c r="M11" i="1"/>
  <c r="P14" i="1"/>
  <c r="I15" i="1"/>
  <c r="R8" i="1"/>
  <c r="K11" i="1"/>
  <c r="G15" i="1"/>
  <c r="O12" i="1"/>
  <c r="J12" i="1"/>
  <c r="H12" i="1"/>
  <c r="I12" i="1"/>
  <c r="P12" i="1"/>
  <c r="K12" i="1"/>
  <c r="F12" i="1"/>
  <c r="M12" i="1"/>
  <c r="N12" i="1"/>
  <c r="O13" i="1"/>
  <c r="D16" i="1"/>
  <c r="I6" i="1"/>
  <c r="H13" i="1"/>
  <c r="J14" i="1"/>
  <c r="H6" i="1"/>
  <c r="N6" i="1"/>
  <c r="N8" i="1" s="1"/>
  <c r="I7" i="1"/>
  <c r="O7" i="1"/>
  <c r="I10" i="1"/>
  <c r="O10" i="1"/>
  <c r="G13" i="1"/>
  <c r="M13" i="1"/>
  <c r="I14" i="1"/>
  <c r="N14" i="1"/>
  <c r="I13" i="1"/>
  <c r="O6" i="1"/>
  <c r="J10" i="1"/>
  <c r="P10" i="1"/>
  <c r="N13" i="1"/>
  <c r="O14" i="1"/>
  <c r="G6" i="1"/>
  <c r="H7" i="1"/>
  <c r="G10" i="1"/>
  <c r="N10" i="1"/>
  <c r="J11" i="1"/>
  <c r="F13" i="1"/>
  <c r="J13" i="1"/>
  <c r="R28" i="1" l="1"/>
  <c r="O8" i="1"/>
  <c r="F8" i="1"/>
  <c r="P8" i="1"/>
  <c r="G8" i="1"/>
  <c r="M16" i="1"/>
  <c r="O16" i="1"/>
  <c r="F16" i="1"/>
  <c r="P16" i="1"/>
  <c r="K16" i="1"/>
  <c r="G16" i="1"/>
  <c r="H16" i="1"/>
  <c r="N16" i="1"/>
  <c r="J16" i="1"/>
  <c r="I16" i="1"/>
  <c r="H8" i="1"/>
  <c r="I8" i="1"/>
  <c r="Y20" i="2" l="1"/>
  <c r="Y22" i="2" s="1"/>
  <c r="X19" i="2"/>
  <c r="X20" i="2" s="1"/>
  <c r="X22" i="2" s="1"/>
  <c r="W19" i="2"/>
  <c r="W20" i="2"/>
  <c r="W22" i="2" s="1"/>
  <c r="V19" i="2"/>
  <c r="V20" i="2" s="1"/>
  <c r="V22" i="2" s="1"/>
  <c r="U19" i="2"/>
  <c r="U20" i="2" s="1"/>
  <c r="U22" i="2" s="1"/>
  <c r="T19" i="2"/>
  <c r="T20" i="2" s="1"/>
  <c r="T22" i="2" s="1"/>
  <c r="S19" i="2"/>
  <c r="S20" i="2" s="1"/>
  <c r="S22" i="2" s="1"/>
  <c r="R19" i="2"/>
  <c r="R20" i="2" s="1"/>
  <c r="R22" i="2" s="1"/>
  <c r="Q19" i="2"/>
  <c r="Q20" i="2"/>
  <c r="Q22" i="2" s="1"/>
  <c r="P19" i="2"/>
  <c r="P20" i="2" s="1"/>
  <c r="P22" i="2" s="1"/>
  <c r="O19" i="2"/>
  <c r="O20" i="2"/>
  <c r="O22" i="2" s="1"/>
  <c r="N19" i="2"/>
  <c r="N20" i="2" s="1"/>
  <c r="N22" i="2" s="1"/>
  <c r="M19" i="2"/>
  <c r="M20" i="2" s="1"/>
  <c r="M22" i="2" s="1"/>
  <c r="L19" i="2"/>
  <c r="L20" i="2" s="1"/>
  <c r="L22" i="2" s="1"/>
  <c r="K19" i="2"/>
  <c r="K20" i="2" s="1"/>
  <c r="K22" i="2" s="1"/>
  <c r="J19" i="2"/>
  <c r="J20" i="2" s="1"/>
  <c r="J22" i="2" s="1"/>
  <c r="I19" i="2"/>
  <c r="I20" i="2" s="1"/>
  <c r="I22" i="2" s="1"/>
  <c r="H19" i="2"/>
  <c r="H20" i="2" s="1"/>
  <c r="H22" i="2" s="1"/>
  <c r="G19" i="2"/>
  <c r="G20" i="2"/>
  <c r="G22" i="2" s="1"/>
  <c r="F19" i="2"/>
  <c r="F20" i="2" s="1"/>
  <c r="F22" i="2" s="1"/>
  <c r="E19" i="2"/>
  <c r="E20" i="2" s="1"/>
  <c r="E22" i="2" s="1"/>
  <c r="D19" i="2"/>
  <c r="D20" i="2" s="1"/>
  <c r="D22" i="2" s="1"/>
  <c r="C19" i="2"/>
  <c r="C20" i="2" s="1"/>
  <c r="C22" i="2" s="1"/>
  <c r="B19" i="2"/>
  <c r="B20" i="2"/>
  <c r="B22" i="2" s="1"/>
  <c r="W23" i="2" l="1"/>
</calcChain>
</file>

<file path=xl/sharedStrings.xml><?xml version="1.0" encoding="utf-8"?>
<sst xmlns="http://schemas.openxmlformats.org/spreadsheetml/2006/main" count="286" uniqueCount="94">
  <si>
    <t>Наименование блюда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</si>
  <si>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</si>
  <si>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</si>
  <si>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</si>
  <si>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</si>
  <si>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</si>
  <si>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</si>
  <si>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</si>
  <si>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</si>
  <si>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</si>
  <si>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</si>
  <si>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</si>
  <si>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</si>
  <si>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</si>
  <si>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морковь</t>
  </si>
  <si>
    <t>всего грамм</t>
  </si>
  <si>
    <t>нетто</t>
  </si>
  <si>
    <t>отх</t>
  </si>
  <si>
    <t>крупа гречневая</t>
  </si>
  <si>
    <t>масло сливочное</t>
  </si>
  <si>
    <t>масло растительное</t>
  </si>
  <si>
    <t>томат</t>
  </si>
  <si>
    <t>количество детей</t>
  </si>
  <si>
    <t>Меню</t>
  </si>
  <si>
    <t>Хлеб</t>
  </si>
  <si>
    <t>Соль</t>
  </si>
  <si>
    <t>Курица</t>
  </si>
  <si>
    <t>Картофель</t>
  </si>
  <si>
    <t>Лук</t>
  </si>
  <si>
    <t>Морковь</t>
  </si>
  <si>
    <t>Капуста</t>
  </si>
  <si>
    <t>Свекла</t>
  </si>
  <si>
    <t>Макаронные изд.</t>
  </si>
  <si>
    <t>Пшеничная крупа</t>
  </si>
  <si>
    <t>еленый горошек</t>
  </si>
  <si>
    <t>Гречка</t>
  </si>
  <si>
    <t>Мясо</t>
  </si>
  <si>
    <t>Фарш</t>
  </si>
  <si>
    <t>Яблоки</t>
  </si>
  <si>
    <t>Мука</t>
  </si>
  <si>
    <t>Масло растительное</t>
  </si>
  <si>
    <t>Масло сливочное</t>
  </si>
  <si>
    <t>Сухофрукты</t>
  </si>
  <si>
    <t>Сахар</t>
  </si>
  <si>
    <t>Томат</t>
  </si>
  <si>
    <t>Банан</t>
  </si>
  <si>
    <t>чай</t>
  </si>
  <si>
    <t>горох</t>
  </si>
  <si>
    <t>салат свекольный</t>
  </si>
  <si>
    <t>суп гороховый на к/б</t>
  </si>
  <si>
    <t>хлеб</t>
  </si>
  <si>
    <t>компот из сухофр</t>
  </si>
  <si>
    <t>бананы</t>
  </si>
  <si>
    <t>курица отварная</t>
  </si>
  <si>
    <t xml:space="preserve">                                                                                      </t>
  </si>
  <si>
    <t>Итого на 1 человека</t>
  </si>
  <si>
    <t>Итого к выдаче</t>
  </si>
  <si>
    <t>Цена</t>
  </si>
  <si>
    <t>На сумму:</t>
  </si>
  <si>
    <t>Стоимость д/дня</t>
  </si>
  <si>
    <t>цена</t>
  </si>
  <si>
    <t>сахар</t>
  </si>
  <si>
    <t>итого</t>
  </si>
  <si>
    <t>лук</t>
  </si>
  <si>
    <t>мука</t>
  </si>
  <si>
    <t xml:space="preserve">Утверждаю:   </t>
  </si>
  <si>
    <t xml:space="preserve">Согласовано:   </t>
  </si>
  <si>
    <t xml:space="preserve">Начальник ТО Управления Роспотребнадзора </t>
  </si>
  <si>
    <t>Мятов Н.Г.</t>
  </si>
  <si>
    <t>3.хлеб</t>
  </si>
  <si>
    <t>4.чай</t>
  </si>
  <si>
    <t>6.соль</t>
  </si>
  <si>
    <t>6.яблоки</t>
  </si>
  <si>
    <t>сумма</t>
  </si>
  <si>
    <t>по РД " Кайтагском районе"</t>
  </si>
  <si>
    <t>мясо говядины</t>
  </si>
  <si>
    <t>1.каша гречневая</t>
  </si>
  <si>
    <t>2.гуляш из говядины</t>
  </si>
  <si>
    <t>Начальник ОО и МУ МР"Дахадаевский район"</t>
  </si>
  <si>
    <t>администрации МР"Дахадаевский район"</t>
  </si>
  <si>
    <t>Сулейманов М.И.</t>
  </si>
  <si>
    <t>Примерное двухнедельное меню для образовательных учреждений администрации МР "Дахадаевский район"                                                                         В период с 13.09.2021г.по 27.09.2021г.</t>
  </si>
  <si>
    <t>61.02</t>
  </si>
  <si>
    <t>картофельное пюре</t>
  </si>
  <si>
    <t>каша гречневая</t>
  </si>
  <si>
    <t>салат овошной</t>
  </si>
  <si>
    <t>макароны отворные</t>
  </si>
  <si>
    <t>рыба запеченная</t>
  </si>
  <si>
    <t>каша рисовая</t>
  </si>
  <si>
    <t>салат овошная</t>
  </si>
  <si>
    <t>сок</t>
  </si>
  <si>
    <t>меню для школьников за сентябрь  2021 год</t>
  </si>
  <si>
    <t>январь</t>
  </si>
  <si>
    <t>17.01.2022г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</si>
</sst>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</font>
    <font>
      <sz val="8"/>
      <name val="Calibri"/>
      <family val="2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7" fillId="0" borderId="2" xfId="1" applyNumberFormat="1" applyFont="1" applyFill="1" applyBorder="1" applyAlignment="1" applyProtection="1">
      <alignment horizontal="left" vertical="top" wrapText="1"/>
    </xf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2" fontId="3" fillId="0" borderId="1" xfId="0" applyNumberFormat="1" applyFont="1" applyBorder="1"/>
    <xf numFmtId="0" fontId="9" fillId="0" borderId="0" xfId="0" applyFont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textRotation="90" wrapText="1"/>
    </xf>
    <xf numFmtId="0" fontId="9" fillId="0" borderId="1" xfId="0" applyFont="1" applyBorder="1" applyAlignment="1" applyProtection="1">
      <alignment textRotation="90" wrapText="1"/>
      <protection locked="0"/>
    </xf>
    <xf numFmtId="0" fontId="9" fillId="0" borderId="1" xfId="0" applyFont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164" fontId="9" fillId="0" borderId="5" xfId="0" applyNumberFormat="1" applyFont="1" applyBorder="1" applyProtection="1">
      <protection locked="0"/>
    </xf>
    <xf numFmtId="164" fontId="9" fillId="0" borderId="1" xfId="0" applyNumberFormat="1" applyFont="1" applyBorder="1" applyProtection="1"/>
    <xf numFmtId="2" fontId="9" fillId="0" borderId="1" xfId="0" applyNumberFormat="1" applyFont="1" applyBorder="1" applyProtection="1"/>
    <xf numFmtId="0" fontId="9" fillId="0" borderId="1" xfId="0" applyFont="1" applyBorder="1" applyProtection="1"/>
    <xf numFmtId="2" fontId="9" fillId="0" borderId="6" xfId="0" applyNumberFormat="1" applyFont="1" applyBorder="1" applyAlignment="1" applyProtection="1">
      <alignment horizontal="center"/>
    </xf>
    <xf numFmtId="2" fontId="9" fillId="0" borderId="7" xfId="0" applyNumberFormat="1" applyFont="1" applyBorder="1" applyAlignment="1" applyProtection="1">
      <alignment horizontal="center"/>
    </xf>
    <xf numFmtId="2" fontId="9" fillId="0" borderId="0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/>
    <xf numFmtId="2" fontId="11" fillId="0" borderId="1" xfId="0" applyNumberFormat="1" applyFont="1" applyBorder="1"/>
    <xf numFmtId="0" fontId="12" fillId="0" borderId="1" xfId="0" applyFont="1" applyBorder="1"/>
    <xf numFmtId="164" fontId="3" fillId="0" borderId="1" xfId="0" applyNumberFormat="1" applyFont="1" applyBorder="1"/>
    <xf numFmtId="1" fontId="0" fillId="0" borderId="1" xfId="0" applyNumberFormat="1" applyBorder="1"/>
    <xf numFmtId="2" fontId="1" fillId="0" borderId="1" xfId="0" applyNumberFormat="1" applyFont="1" applyBorder="1"/>
    <xf numFmtId="2" fontId="12" fillId="0" borderId="1" xfId="0" applyNumberFormat="1" applyFont="1" applyBorder="1"/>
    <xf numFmtId="1" fontId="12" fillId="0" borderId="1" xfId="0" applyNumberFormat="1" applyFont="1" applyBorder="1"/>
    <xf numFmtId="1" fontId="15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19" fillId="0" borderId="12" xfId="0" applyFont="1" applyBorder="1"/>
    <xf numFmtId="2" fontId="12" fillId="0" borderId="1" xfId="0" applyNumberFormat="1" applyFont="1" applyBorder="1" applyAlignment="1">
      <alignment horizontal="center" vertical="center"/>
    </xf>
    <xf numFmtId="0" fontId="24" fillId="0" borderId="1" xfId="0" applyFont="1" applyBorder="1"/>
    <xf numFmtId="2" fontId="23" fillId="0" borderId="1" xfId="0" applyNumberFormat="1" applyFont="1" applyBorder="1" applyAlignment="1">
      <alignment vertical="center"/>
    </xf>
    <xf numFmtId="0" fontId="0" fillId="0" borderId="0" xfId="0" applyFont="1"/>
    <xf numFmtId="1" fontId="1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5" fillId="0" borderId="0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8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7" fillId="0" borderId="9" xfId="1" applyNumberFormat="1" applyFont="1" applyFill="1" applyBorder="1" applyAlignment="1" applyProtection="1">
      <alignment horizontal="center" vertical="top" wrapText="1"/>
    </xf>
    <xf numFmtId="0" fontId="7" fillId="0" borderId="10" xfId="1" applyNumberFormat="1" applyFont="1" applyFill="1" applyBorder="1" applyAlignment="1" applyProtection="1">
      <alignment horizontal="center" vertical="top" wrapText="1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11" xfId="1" applyNumberFormat="1" applyFont="1" applyFill="1" applyBorder="1" applyAlignment="1" applyProtection="1">
      <alignment horizontal="center" vertical="top"/>
    </xf>
    <xf numFmtId="0" fontId="17" fillId="2" borderId="8" xfId="1" applyNumberFormat="1" applyFont="1" applyFill="1" applyBorder="1" applyAlignment="1" applyProtection="1">
      <alignment horizontal="center" vertical="top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14" fillId="0" borderId="2" xfId="1" applyNumberFormat="1" applyFont="1" applyFill="1" applyBorder="1" applyAlignment="1" applyProtection="1">
      <alignment horizontal="center" vertical="center"/>
    </xf>
    <xf numFmtId="0" fontId="20" fillId="0" borderId="5" xfId="0" applyFont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22" fillId="2" borderId="2" xfId="1" applyNumberFormat="1" applyFont="1" applyFill="1" applyBorder="1" applyAlignment="1" applyProtection="1">
      <alignment horizontal="center" vertical="top" wrapText="1"/>
    </xf>
    <xf numFmtId="0" fontId="22" fillId="2" borderId="11" xfId="1" applyNumberFormat="1" applyFont="1" applyFill="1" applyBorder="1" applyAlignment="1" applyProtection="1">
      <alignment horizontal="center" vertical="top" wrapText="1"/>
    </xf>
    <xf numFmtId="0" fontId="22" fillId="2" borderId="8" xfId="1" applyNumberFormat="1" applyFont="1" applyFill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2" fontId="20" fillId="0" borderId="9" xfId="0" applyNumberFormat="1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26" zoomScale="85" zoomScaleNormal="85" zoomScalePageLayoutView="62" workbookViewId="0">
      <selection activeCell="A36" sqref="A36:XFD714"/>
    </sheetView>
  </sheetViews>
  <sheetFormatPr defaultRowHeight="15" x14ac:dyDescent="0.25"/>
  <cols>
    <col min="1" max="1" width="3.42578125" customWidth="1"/>
    <col min="2" max="2" width="25.140625" customWidth="1"/>
    <col min="3" max="3" width="10.28515625" customWidth="1"/>
    <col min="6" max="6" width="8.42578125" customWidth="1"/>
    <col min="7" max="7" width="8.85546875" customWidth="1"/>
    <col min="8" max="8" width="11.5703125" customWidth="1"/>
    <col min="10" max="11" width="9.140625" customWidth="1"/>
    <col min="14" max="15" width="9.140625" customWidth="1"/>
    <col min="16" max="16" width="7.42578125" customWidth="1"/>
    <col min="17" max="17" width="9.5703125" customWidth="1"/>
    <col min="18" max="18" width="9.85546875" customWidth="1"/>
  </cols>
  <sheetData>
    <row r="1" spans="1:18" s="41" customFormat="1" ht="18.75" customHeight="1" x14ac:dyDescent="0.3">
      <c r="D1" s="41" t="s">
        <v>91</v>
      </c>
      <c r="E1" s="41" t="s">
        <v>92</v>
      </c>
      <c r="F1" s="41">
        <v>2022</v>
      </c>
    </row>
    <row r="2" spans="1:18" ht="18.75" x14ac:dyDescent="0.3">
      <c r="A2" s="30"/>
      <c r="B2" s="62" t="s">
        <v>0</v>
      </c>
      <c r="C2" s="63" t="s">
        <v>15</v>
      </c>
      <c r="D2" s="55" t="s">
        <v>17</v>
      </c>
      <c r="E2" s="55" t="s">
        <v>16</v>
      </c>
      <c r="F2" s="48" t="s">
        <v>1</v>
      </c>
      <c r="G2" s="48" t="s">
        <v>2</v>
      </c>
      <c r="H2" s="48" t="s">
        <v>3</v>
      </c>
      <c r="I2" s="48" t="s">
        <v>4</v>
      </c>
      <c r="J2" s="59" t="s">
        <v>5</v>
      </c>
      <c r="K2" s="59"/>
      <c r="L2" s="59"/>
      <c r="M2" s="59" t="s">
        <v>6</v>
      </c>
      <c r="N2" s="59"/>
      <c r="O2" s="59"/>
      <c r="P2" s="59"/>
      <c r="Q2" s="60" t="s">
        <v>60</v>
      </c>
      <c r="R2" s="70" t="s">
        <v>73</v>
      </c>
    </row>
    <row r="3" spans="1:18" ht="18.75" x14ac:dyDescent="0.3">
      <c r="A3" s="30"/>
      <c r="B3" s="62"/>
      <c r="C3" s="64"/>
      <c r="D3" s="56"/>
      <c r="E3" s="56"/>
      <c r="F3" s="58"/>
      <c r="G3" s="58"/>
      <c r="H3" s="58"/>
      <c r="I3" s="58"/>
      <c r="J3" s="48" t="s">
        <v>7</v>
      </c>
      <c r="K3" s="50" t="s">
        <v>8</v>
      </c>
      <c r="L3" s="48" t="s">
        <v>9</v>
      </c>
      <c r="M3" s="48" t="s">
        <v>10</v>
      </c>
      <c r="N3" s="48" t="s">
        <v>11</v>
      </c>
      <c r="O3" s="48" t="s">
        <v>12</v>
      </c>
      <c r="P3" s="48" t="s">
        <v>13</v>
      </c>
      <c r="Q3" s="58"/>
      <c r="R3" s="71"/>
    </row>
    <row r="4" spans="1:18" ht="20.25" x14ac:dyDescent="0.3">
      <c r="A4" s="30"/>
      <c r="B4" s="1" t="s">
        <v>93</v>
      </c>
      <c r="C4" s="65"/>
      <c r="D4" s="57"/>
      <c r="E4" s="57"/>
      <c r="F4" s="49"/>
      <c r="G4" s="49"/>
      <c r="H4" s="49"/>
      <c r="I4" s="49"/>
      <c r="J4" s="49"/>
      <c r="K4" s="51"/>
      <c r="L4" s="49"/>
      <c r="M4" s="49"/>
      <c r="N4" s="49"/>
      <c r="O4" s="49"/>
      <c r="P4" s="49"/>
      <c r="Q4" s="49"/>
      <c r="R4" s="72"/>
    </row>
    <row r="5" spans="1:18" ht="21" x14ac:dyDescent="0.35">
      <c r="A5" s="24"/>
      <c r="B5" s="61" t="s">
        <v>76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</row>
    <row r="6" spans="1:18" ht="18.75" x14ac:dyDescent="0.3">
      <c r="A6" s="24"/>
      <c r="B6" s="2" t="s">
        <v>18</v>
      </c>
      <c r="C6" s="3">
        <v>50</v>
      </c>
      <c r="D6" s="3">
        <v>0</v>
      </c>
      <c r="E6" s="3">
        <f>C6-D6</f>
        <v>50</v>
      </c>
      <c r="F6" s="3">
        <f>E6*12.6%</f>
        <v>6.3</v>
      </c>
      <c r="G6" s="3">
        <f>E6*3.3%</f>
        <v>1.6500000000000001</v>
      </c>
      <c r="H6" s="3">
        <f>E6*62.1%</f>
        <v>31.05</v>
      </c>
      <c r="I6" s="3">
        <f>E6*335%</f>
        <v>167.5</v>
      </c>
      <c r="J6" s="3">
        <f>E6*0.43%</f>
        <v>0.215</v>
      </c>
      <c r="K6" s="3">
        <v>0</v>
      </c>
      <c r="L6" s="3">
        <v>0</v>
      </c>
      <c r="M6" s="3">
        <f>E6*20%</f>
        <v>10</v>
      </c>
      <c r="N6" s="3">
        <f>E6*298%</f>
        <v>149</v>
      </c>
      <c r="O6" s="3">
        <f>E6*200%</f>
        <v>100</v>
      </c>
      <c r="P6" s="3">
        <f>E6*6.7%</f>
        <v>3.35</v>
      </c>
      <c r="Q6" s="3">
        <v>105</v>
      </c>
      <c r="R6" s="22">
        <f>C6/1000*Q6</f>
        <v>5.25</v>
      </c>
    </row>
    <row r="7" spans="1:18" ht="18.75" x14ac:dyDescent="0.3">
      <c r="A7" s="24"/>
      <c r="B7" s="2" t="s">
        <v>19</v>
      </c>
      <c r="C7" s="3">
        <v>15</v>
      </c>
      <c r="D7" s="3">
        <v>0</v>
      </c>
      <c r="E7" s="3">
        <f>C7-D7</f>
        <v>15</v>
      </c>
      <c r="F7" s="3">
        <f>E7*0.5%</f>
        <v>7.4999999999999997E-2</v>
      </c>
      <c r="G7" s="3">
        <f>E7*82.5%</f>
        <v>12.375</v>
      </c>
      <c r="H7" s="3">
        <f>E7*0.8%</f>
        <v>0.12</v>
      </c>
      <c r="I7" s="3">
        <f>E7*748%</f>
        <v>112.2</v>
      </c>
      <c r="J7" s="3">
        <v>0</v>
      </c>
      <c r="K7" s="3">
        <v>0</v>
      </c>
      <c r="L7" s="3">
        <f>E7*0.59%</f>
        <v>8.8499999999999995E-2</v>
      </c>
      <c r="M7" s="3">
        <f>E7*12%</f>
        <v>1.7999999999999998</v>
      </c>
      <c r="N7" s="3">
        <f>E7*19%</f>
        <v>2.85</v>
      </c>
      <c r="O7" s="3">
        <f>E7*0.4%</f>
        <v>0.06</v>
      </c>
      <c r="P7" s="3">
        <f>E7*0.2%</f>
        <v>0.03</v>
      </c>
      <c r="Q7" s="3">
        <v>635</v>
      </c>
      <c r="R7" s="22">
        <f>C7/1000*Q7</f>
        <v>9.5250000000000004</v>
      </c>
    </row>
    <row r="8" spans="1:18" ht="18.75" x14ac:dyDescent="0.3">
      <c r="A8" s="24"/>
      <c r="B8" s="24" t="s">
        <v>62</v>
      </c>
      <c r="C8" s="5">
        <f>C7+C6</f>
        <v>65</v>
      </c>
      <c r="D8" s="5">
        <v>0</v>
      </c>
      <c r="E8" s="5">
        <v>110</v>
      </c>
      <c r="F8" s="5">
        <f t="shared" ref="F8:P8" si="0">SUM(F6:F7)</f>
        <v>6.375</v>
      </c>
      <c r="G8" s="5">
        <f t="shared" si="0"/>
        <v>14.025</v>
      </c>
      <c r="H8" s="5">
        <f t="shared" si="0"/>
        <v>31.17</v>
      </c>
      <c r="I8" s="5">
        <f t="shared" si="0"/>
        <v>279.7</v>
      </c>
      <c r="J8" s="5">
        <f t="shared" si="0"/>
        <v>0.215</v>
      </c>
      <c r="K8" s="5">
        <f t="shared" si="0"/>
        <v>0</v>
      </c>
      <c r="L8" s="5">
        <f t="shared" si="0"/>
        <v>8.8499999999999995E-2</v>
      </c>
      <c r="M8" s="5">
        <f t="shared" si="0"/>
        <v>11.8</v>
      </c>
      <c r="N8" s="5">
        <f t="shared" si="0"/>
        <v>151.85</v>
      </c>
      <c r="O8" s="5">
        <f t="shared" si="0"/>
        <v>100.06</v>
      </c>
      <c r="P8" s="5">
        <f t="shared" si="0"/>
        <v>3.38</v>
      </c>
      <c r="Q8" s="5"/>
      <c r="R8" s="5">
        <f>SUM(R6:R7)</f>
        <v>14.775</v>
      </c>
    </row>
    <row r="9" spans="1:18" ht="20.25" x14ac:dyDescent="0.3">
      <c r="A9" s="30"/>
      <c r="B9" s="52" t="s">
        <v>77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4"/>
    </row>
    <row r="10" spans="1:18" s="37" customFormat="1" ht="22.5" customHeight="1" x14ac:dyDescent="0.3">
      <c r="A10" s="24"/>
      <c r="B10" s="2" t="s">
        <v>75</v>
      </c>
      <c r="C10" s="3">
        <v>60</v>
      </c>
      <c r="D10" s="3">
        <f>C10*26.4%</f>
        <v>15.84</v>
      </c>
      <c r="E10" s="3">
        <f>SUM(C10-D10)</f>
        <v>44.16</v>
      </c>
      <c r="F10" s="3">
        <f>E10*18.6%</f>
        <v>8.2137600000000006</v>
      </c>
      <c r="G10" s="3">
        <f>E10*16%</f>
        <v>7.0655999999999999</v>
      </c>
      <c r="H10" s="3">
        <v>0</v>
      </c>
      <c r="I10" s="3">
        <f>E10*218%</f>
        <v>96.268799999999999</v>
      </c>
      <c r="J10" s="3">
        <f>E10*0.06%</f>
        <v>2.6495999999999995E-2</v>
      </c>
      <c r="K10" s="3">
        <v>0</v>
      </c>
      <c r="L10" s="3">
        <v>0</v>
      </c>
      <c r="M10" s="3">
        <f>E10*9%</f>
        <v>3.9743999999999997</v>
      </c>
      <c r="N10" s="3">
        <f>E10*188%</f>
        <v>83.020799999999994</v>
      </c>
      <c r="O10" s="3">
        <f>E10*22%</f>
        <v>9.7151999999999994</v>
      </c>
      <c r="P10" s="3">
        <f>E10*2.7%</f>
        <v>1.19232</v>
      </c>
      <c r="Q10" s="3">
        <v>390</v>
      </c>
      <c r="R10" s="3">
        <f>C10/1000*Q10</f>
        <v>23.4</v>
      </c>
    </row>
    <row r="11" spans="1:18" ht="18.75" x14ac:dyDescent="0.3">
      <c r="A11" s="24"/>
      <c r="B11" s="2" t="s">
        <v>14</v>
      </c>
      <c r="C11" s="3">
        <v>24</v>
      </c>
      <c r="D11" s="3">
        <v>5</v>
      </c>
      <c r="E11" s="3">
        <f>C11-D11</f>
        <v>19</v>
      </c>
      <c r="F11" s="3">
        <f>E11*1.3%</f>
        <v>0.24700000000000003</v>
      </c>
      <c r="G11" s="3">
        <v>0</v>
      </c>
      <c r="H11" s="3">
        <f>E11*7.2%</f>
        <v>1.3680000000000001</v>
      </c>
      <c r="I11" s="3">
        <f>E11*30%</f>
        <v>5.7</v>
      </c>
      <c r="J11" s="3">
        <f>E11*0.06%</f>
        <v>1.1399999999999999E-2</v>
      </c>
      <c r="K11" s="3">
        <f>E11*5%</f>
        <v>0.95000000000000007</v>
      </c>
      <c r="L11" s="3">
        <v>0</v>
      </c>
      <c r="M11" s="3">
        <f>E11*51%</f>
        <v>9.69</v>
      </c>
      <c r="N11" s="3">
        <f>E11*55%</f>
        <v>10.450000000000001</v>
      </c>
      <c r="O11" s="3">
        <f>E11*38%</f>
        <v>7.22</v>
      </c>
      <c r="P11" s="3">
        <f>E11*0.7%</f>
        <v>0.13299999999999998</v>
      </c>
      <c r="Q11" s="3">
        <v>55</v>
      </c>
      <c r="R11" s="3">
        <f>C11/1000*Q11</f>
        <v>1.32</v>
      </c>
    </row>
    <row r="12" spans="1:18" ht="18.75" x14ac:dyDescent="0.3">
      <c r="A12" s="24"/>
      <c r="B12" s="2" t="s">
        <v>63</v>
      </c>
      <c r="C12" s="3">
        <v>24</v>
      </c>
      <c r="D12" s="3">
        <f>C12*0.16</f>
        <v>3.84</v>
      </c>
      <c r="E12" s="3">
        <f>C12-D12</f>
        <v>20.16</v>
      </c>
      <c r="F12" s="3">
        <f>E12*1.4%</f>
        <v>0.28223999999999999</v>
      </c>
      <c r="G12">
        <v>0</v>
      </c>
      <c r="H12" s="3">
        <f>E12*9.1%</f>
        <v>1.83456</v>
      </c>
      <c r="I12" s="3">
        <f>E12*41%</f>
        <v>8.2655999999999992</v>
      </c>
      <c r="J12" s="3">
        <f>E12*0.05%</f>
        <v>1.008E-2</v>
      </c>
      <c r="K12" s="3">
        <f>E12*10%</f>
        <v>2.016</v>
      </c>
      <c r="L12" s="3">
        <v>0</v>
      </c>
      <c r="M12" s="3">
        <f>E12*31%</f>
        <v>6.2496</v>
      </c>
      <c r="N12" s="3">
        <f>E12*58%</f>
        <v>11.6928</v>
      </c>
      <c r="O12" s="3">
        <f>E12*14%</f>
        <v>2.8224000000000005</v>
      </c>
      <c r="P12" s="3">
        <f>E12*0.8%</f>
        <v>0.16128000000000001</v>
      </c>
      <c r="Q12" s="3">
        <v>35</v>
      </c>
      <c r="R12" s="3">
        <f>C12/1000*Q12</f>
        <v>0.84</v>
      </c>
    </row>
    <row r="13" spans="1:18" ht="18.75" x14ac:dyDescent="0.3">
      <c r="A13" s="29"/>
      <c r="B13" s="27" t="s">
        <v>64</v>
      </c>
      <c r="C13" s="27">
        <v>10</v>
      </c>
      <c r="D13" s="27">
        <v>0</v>
      </c>
      <c r="E13" s="27">
        <f>C13-D13</f>
        <v>10</v>
      </c>
      <c r="F13" s="27">
        <f>E13*7.9%</f>
        <v>0.79</v>
      </c>
      <c r="G13" s="27">
        <f>E13*1%</f>
        <v>0.1</v>
      </c>
      <c r="H13" s="27">
        <f>E13*48.1%</f>
        <v>4.8100000000000005</v>
      </c>
      <c r="I13" s="27">
        <f>E13*239%</f>
        <v>23.900000000000002</v>
      </c>
      <c r="J13" s="27">
        <f>E13*0.16%</f>
        <v>1.6E-2</v>
      </c>
      <c r="K13" s="27">
        <v>0</v>
      </c>
      <c r="L13" s="27">
        <v>0</v>
      </c>
      <c r="M13" s="27">
        <f>E13*23%</f>
        <v>2.3000000000000003</v>
      </c>
      <c r="N13" s="27">
        <f>E13*87%</f>
        <v>8.6999999999999993</v>
      </c>
      <c r="O13" s="27">
        <f>E13*33%</f>
        <v>3.3000000000000003</v>
      </c>
      <c r="P13" s="27">
        <f>E13*2%</f>
        <v>0.2</v>
      </c>
      <c r="Q13" s="27">
        <v>30</v>
      </c>
      <c r="R13" s="27">
        <f>C13/1000*30</f>
        <v>0.3</v>
      </c>
    </row>
    <row r="14" spans="1:18" x14ac:dyDescent="0.25">
      <c r="A14" s="35"/>
      <c r="B14" s="36" t="s">
        <v>21</v>
      </c>
      <c r="C14" s="36">
        <v>5</v>
      </c>
      <c r="D14" s="36">
        <v>0</v>
      </c>
      <c r="E14" s="36">
        <f>SUM(C14:D14)</f>
        <v>5</v>
      </c>
      <c r="F14" s="36">
        <f>E14*1%</f>
        <v>0.05</v>
      </c>
      <c r="G14" s="36">
        <v>0</v>
      </c>
      <c r="H14" s="36">
        <f>E14*3.5%</f>
        <v>0.17500000000000002</v>
      </c>
      <c r="I14" s="36">
        <f>E14*19%</f>
        <v>0.95</v>
      </c>
      <c r="J14" s="36">
        <f>E14*0.03%</f>
        <v>1.4999999999999998E-3</v>
      </c>
      <c r="K14" s="36">
        <f>E14*10%</f>
        <v>0.5</v>
      </c>
      <c r="L14" s="36">
        <v>0</v>
      </c>
      <c r="M14" s="36">
        <f>C14*7%</f>
        <v>0.35000000000000003</v>
      </c>
      <c r="N14" s="36">
        <f>E14*32%</f>
        <v>1.6</v>
      </c>
      <c r="O14" s="36">
        <f>E14*12%</f>
        <v>0.6</v>
      </c>
      <c r="P14" s="36">
        <f>E14*0.7%</f>
        <v>3.4999999999999996E-2</v>
      </c>
      <c r="Q14" s="36">
        <v>110</v>
      </c>
      <c r="R14" s="36">
        <f>C14/1000*Q14</f>
        <v>0.55000000000000004</v>
      </c>
    </row>
    <row r="15" spans="1:18" ht="18.75" x14ac:dyDescent="0.3">
      <c r="A15" s="24"/>
      <c r="B15" s="2" t="s">
        <v>20</v>
      </c>
      <c r="C15" s="3">
        <v>10</v>
      </c>
      <c r="D15" s="3">
        <v>0</v>
      </c>
      <c r="E15" s="3">
        <f>SUM(C15:D15)</f>
        <v>10</v>
      </c>
      <c r="F15" s="3">
        <v>0</v>
      </c>
      <c r="G15" s="4">
        <f>E15*0.999</f>
        <v>9.99</v>
      </c>
      <c r="H15" s="3">
        <v>0</v>
      </c>
      <c r="I15" s="3">
        <f>E15*8.99%</f>
        <v>0.89900000000000002</v>
      </c>
      <c r="J15" s="3">
        <f>E15*0.06%</f>
        <v>5.9999999999999993E-3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145</v>
      </c>
      <c r="R15" s="3">
        <f>C15/1000*Q15</f>
        <v>1.45</v>
      </c>
    </row>
    <row r="16" spans="1:18" s="40" customFormat="1" ht="18.75" x14ac:dyDescent="0.25">
      <c r="A16" s="38"/>
      <c r="B16" s="34" t="s">
        <v>62</v>
      </c>
      <c r="C16" s="39">
        <f t="shared" ref="C16:P16" si="1">SUM(C10:C15)</f>
        <v>133</v>
      </c>
      <c r="D16" s="39">
        <f t="shared" si="1"/>
        <v>24.68</v>
      </c>
      <c r="E16" s="39">
        <f t="shared" si="1"/>
        <v>108.32</v>
      </c>
      <c r="F16" s="39">
        <f t="shared" si="1"/>
        <v>9.583000000000002</v>
      </c>
      <c r="G16" s="39">
        <f t="shared" si="1"/>
        <v>17.1556</v>
      </c>
      <c r="H16" s="39">
        <f t="shared" si="1"/>
        <v>8.1875600000000013</v>
      </c>
      <c r="I16" s="39">
        <f t="shared" si="1"/>
        <v>135.98339999999999</v>
      </c>
      <c r="J16" s="39">
        <f t="shared" si="1"/>
        <v>7.1475999999999998E-2</v>
      </c>
      <c r="K16" s="39">
        <f t="shared" si="1"/>
        <v>3.4660000000000002</v>
      </c>
      <c r="L16" s="39">
        <f t="shared" si="1"/>
        <v>0</v>
      </c>
      <c r="M16" s="39">
        <f t="shared" si="1"/>
        <v>22.564</v>
      </c>
      <c r="N16" s="39">
        <f t="shared" si="1"/>
        <v>115.4636</v>
      </c>
      <c r="O16" s="39">
        <f t="shared" si="1"/>
        <v>23.657600000000002</v>
      </c>
      <c r="P16" s="39">
        <f t="shared" si="1"/>
        <v>1.7216</v>
      </c>
      <c r="Q16" s="39"/>
      <c r="R16" s="39">
        <f>SUM(R10:R15)</f>
        <v>27.86</v>
      </c>
    </row>
    <row r="17" spans="1:18" ht="21" x14ac:dyDescent="0.35">
      <c r="A17" s="30"/>
      <c r="B17" s="67" t="s">
        <v>69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5"/>
    </row>
    <row r="18" spans="1:18" ht="18.75" x14ac:dyDescent="0.3">
      <c r="A18" s="30"/>
      <c r="B18" s="28" t="s">
        <v>62</v>
      </c>
      <c r="C18" s="5">
        <v>50</v>
      </c>
      <c r="D18" s="5">
        <v>0</v>
      </c>
      <c r="E18" s="5">
        <v>30</v>
      </c>
      <c r="F18" s="5">
        <f>E18*7.9%</f>
        <v>2.37</v>
      </c>
      <c r="G18" s="5">
        <f>E18*1%</f>
        <v>0.3</v>
      </c>
      <c r="H18" s="5">
        <f>E18*48.1%</f>
        <v>14.430000000000001</v>
      </c>
      <c r="I18" s="5">
        <f>E18*239%</f>
        <v>71.7</v>
      </c>
      <c r="J18" s="5">
        <f>E18*0.16%</f>
        <v>4.8000000000000001E-2</v>
      </c>
      <c r="K18" s="5">
        <v>0</v>
      </c>
      <c r="L18" s="5">
        <v>0</v>
      </c>
      <c r="M18" s="5">
        <f>E18*23%</f>
        <v>6.9</v>
      </c>
      <c r="N18" s="5">
        <f>E18*87%</f>
        <v>26.1</v>
      </c>
      <c r="O18" s="5">
        <f>E18*33%</f>
        <v>9.9</v>
      </c>
      <c r="P18" s="5">
        <f>E18*2%</f>
        <v>0.6</v>
      </c>
      <c r="Q18" s="5">
        <v>50</v>
      </c>
      <c r="R18" s="5">
        <f>C18/1000*50</f>
        <v>2.5</v>
      </c>
    </row>
    <row r="19" spans="1:18" ht="21" x14ac:dyDescent="0.35">
      <c r="A19" s="29"/>
      <c r="B19" s="67" t="s">
        <v>70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5"/>
    </row>
    <row r="20" spans="1:18" ht="18.75" x14ac:dyDescent="0.3">
      <c r="A20" s="29"/>
      <c r="B20" s="3" t="s">
        <v>46</v>
      </c>
      <c r="C20" s="3">
        <v>1</v>
      </c>
      <c r="D20" s="3">
        <v>0</v>
      </c>
      <c r="E20" s="3">
        <f>C20-D20</f>
        <v>1</v>
      </c>
      <c r="F20" s="3">
        <f>E20*21.74%</f>
        <v>0.21739999999999998</v>
      </c>
      <c r="G20" s="3">
        <f>E20*7.61%</f>
        <v>7.6100000000000001E-2</v>
      </c>
      <c r="H20" s="3">
        <f>E20*2.86%</f>
        <v>2.86E-2</v>
      </c>
      <c r="I20" s="3">
        <f>E20*9.18%</f>
        <v>9.1799999999999993E-2</v>
      </c>
      <c r="J20" s="3">
        <f>E20*4.7%</f>
        <v>4.7E-2</v>
      </c>
      <c r="K20" s="3">
        <f>E20*11%</f>
        <v>0.11</v>
      </c>
      <c r="L20" s="3">
        <f>E20*5.6%</f>
        <v>5.5999999999999994E-2</v>
      </c>
      <c r="M20" s="3">
        <f>E20*50%</f>
        <v>0.5</v>
      </c>
      <c r="N20" s="3">
        <f>E20*10%</f>
        <v>0.1</v>
      </c>
      <c r="O20" s="3">
        <f>E20*110%</f>
        <v>1.1000000000000001</v>
      </c>
      <c r="P20" s="3">
        <f>E20*456%</f>
        <v>4.5599999999999996</v>
      </c>
      <c r="Q20" s="3">
        <v>650</v>
      </c>
      <c r="R20" s="3">
        <f>C20/1000*950</f>
        <v>0.95000000000000007</v>
      </c>
    </row>
    <row r="21" spans="1:18" ht="18.75" x14ac:dyDescent="0.3">
      <c r="A21" s="29"/>
      <c r="B21" s="3" t="s">
        <v>61</v>
      </c>
      <c r="C21" s="3">
        <v>15</v>
      </c>
      <c r="D21" s="3">
        <v>0</v>
      </c>
      <c r="E21" s="3">
        <v>15</v>
      </c>
      <c r="F21" s="3">
        <v>0</v>
      </c>
      <c r="G21" s="3">
        <v>0</v>
      </c>
      <c r="H21" s="3">
        <f>E21*99.8%</f>
        <v>14.97</v>
      </c>
      <c r="I21" s="3">
        <f>E21*379%</f>
        <v>56.85</v>
      </c>
      <c r="J21" s="3">
        <v>0</v>
      </c>
      <c r="K21" s="3">
        <v>0</v>
      </c>
      <c r="L21" s="3">
        <v>0</v>
      </c>
      <c r="M21" s="3">
        <f>E21*2%</f>
        <v>0.3</v>
      </c>
      <c r="N21" s="3">
        <v>0</v>
      </c>
      <c r="O21" s="3">
        <v>0</v>
      </c>
      <c r="P21" s="3">
        <f>E21*0.3%</f>
        <v>4.4999999999999998E-2</v>
      </c>
      <c r="Q21" s="3">
        <v>60</v>
      </c>
      <c r="R21" s="3">
        <f>C21/1000*60</f>
        <v>0.89999999999999991</v>
      </c>
    </row>
    <row r="22" spans="1:18" ht="18.75" x14ac:dyDescent="0.3">
      <c r="A22" s="29"/>
      <c r="B22" s="28" t="s">
        <v>62</v>
      </c>
      <c r="C22" s="5">
        <v>16</v>
      </c>
      <c r="D22" s="5">
        <f>SUM(D21:D21)</f>
        <v>0</v>
      </c>
      <c r="E22" s="5">
        <v>150</v>
      </c>
      <c r="F22" s="5">
        <f t="shared" ref="F22:P22" si="2">SUM(F21:F21)</f>
        <v>0</v>
      </c>
      <c r="G22" s="5">
        <f t="shared" si="2"/>
        <v>0</v>
      </c>
      <c r="H22" s="5">
        <f t="shared" si="2"/>
        <v>14.97</v>
      </c>
      <c r="I22" s="5">
        <f t="shared" si="2"/>
        <v>56.85</v>
      </c>
      <c r="J22" s="5">
        <f t="shared" si="2"/>
        <v>0</v>
      </c>
      <c r="K22" s="5">
        <f t="shared" si="2"/>
        <v>0</v>
      </c>
      <c r="L22" s="5">
        <f t="shared" si="2"/>
        <v>0</v>
      </c>
      <c r="M22" s="5">
        <f t="shared" si="2"/>
        <v>0.3</v>
      </c>
      <c r="N22" s="5">
        <f t="shared" si="2"/>
        <v>0</v>
      </c>
      <c r="O22" s="5">
        <f t="shared" si="2"/>
        <v>0</v>
      </c>
      <c r="P22" s="5">
        <f t="shared" si="2"/>
        <v>4.4999999999999998E-2</v>
      </c>
      <c r="Q22" s="5"/>
      <c r="R22" s="5">
        <f>SUM(R20:R21)</f>
        <v>1.85</v>
      </c>
    </row>
    <row r="23" spans="1:18" ht="22.5" customHeight="1" x14ac:dyDescent="0.35">
      <c r="A23" s="29"/>
      <c r="B23" s="67" t="s">
        <v>72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9"/>
    </row>
    <row r="24" spans="1:18" ht="18.75" x14ac:dyDescent="0.3">
      <c r="A24" s="29"/>
      <c r="B24" s="28" t="s">
        <v>62</v>
      </c>
      <c r="C24" s="5">
        <v>140</v>
      </c>
      <c r="D24" s="5">
        <v>0</v>
      </c>
      <c r="E24" s="5">
        <v>125</v>
      </c>
      <c r="F24" s="5">
        <f>E24*0.4%</f>
        <v>0.5</v>
      </c>
      <c r="G24" s="5">
        <f>E24*0.4%</f>
        <v>0.5</v>
      </c>
      <c r="H24" s="5">
        <f>E24*9.8%</f>
        <v>12.25</v>
      </c>
      <c r="I24" s="5">
        <f>E24*45%</f>
        <v>56.25</v>
      </c>
      <c r="J24" s="5">
        <f>E24*0.03%</f>
        <v>3.7499999999999999E-2</v>
      </c>
      <c r="K24" s="5">
        <f>E24*13%</f>
        <v>16.25</v>
      </c>
      <c r="L24" s="5">
        <v>0</v>
      </c>
      <c r="M24" s="5">
        <f>E24*16%</f>
        <v>20</v>
      </c>
      <c r="N24" s="5">
        <f>E24*11%</f>
        <v>13.75</v>
      </c>
      <c r="O24" s="5">
        <f>E24*9%</f>
        <v>11.25</v>
      </c>
      <c r="P24" s="5">
        <f>E24*2.2%</f>
        <v>2.7500000000000004</v>
      </c>
      <c r="Q24" s="5">
        <v>100</v>
      </c>
      <c r="R24" s="5">
        <f>C24/1000*Q24</f>
        <v>14.000000000000002</v>
      </c>
    </row>
    <row r="25" spans="1:18" ht="21" x14ac:dyDescent="0.35">
      <c r="A25" s="30"/>
      <c r="B25" s="66" t="s">
        <v>71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7"/>
    </row>
    <row r="26" spans="1:18" ht="18.75" x14ac:dyDescent="0.3">
      <c r="A26" s="30"/>
      <c r="B26" s="28" t="s">
        <v>62</v>
      </c>
      <c r="C26" s="25">
        <v>3</v>
      </c>
      <c r="D26" s="5">
        <v>0</v>
      </c>
      <c r="E26" s="25">
        <f>C26-D26</f>
        <v>3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10</v>
      </c>
      <c r="R26" s="25">
        <f>C26/1000*Q26</f>
        <v>0.03</v>
      </c>
    </row>
    <row r="27" spans="1:18" ht="18.75" x14ac:dyDescent="0.3">
      <c r="A27" s="30"/>
      <c r="B27" s="28"/>
      <c r="C27" s="25"/>
      <c r="D27" s="5"/>
      <c r="E27" s="2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25"/>
    </row>
    <row r="28" spans="1:18" ht="23.25" x14ac:dyDescent="0.35">
      <c r="A28" s="26"/>
      <c r="B28" s="23" t="s">
        <v>62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>
        <f>R26+R24+R22+R18+R16+R8</f>
        <v>61.015000000000001</v>
      </c>
    </row>
    <row r="29" spans="1:18" ht="23.25" customHeight="1" x14ac:dyDescent="0.25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</row>
    <row r="30" spans="1:18" ht="23.25" customHeight="1" x14ac:dyDescent="0.25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8"/>
    </row>
    <row r="31" spans="1:18" ht="23.25" customHeight="1" x14ac:dyDescent="0.2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8"/>
    </row>
    <row r="32" spans="1:18" ht="23.25" customHeight="1" x14ac:dyDescent="0.25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8"/>
    </row>
    <row r="33" spans="1:18" ht="23.25" customHeight="1" x14ac:dyDescent="0.25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8"/>
    </row>
    <row r="34" spans="1:18" ht="23.25" customHeight="1" x14ac:dyDescent="0.25">
      <c r="A34" s="76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8"/>
    </row>
    <row r="35" spans="1:18" ht="23.25" customHeight="1" x14ac:dyDescent="0.25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/>
    </row>
  </sheetData>
  <mergeCells count="26">
    <mergeCell ref="B23:R23"/>
    <mergeCell ref="B9:R9"/>
    <mergeCell ref="B17:R17"/>
    <mergeCell ref="B19:R19"/>
    <mergeCell ref="B25:R25"/>
    <mergeCell ref="A29:R35"/>
    <mergeCell ref="R2:R4"/>
    <mergeCell ref="J3:J4"/>
    <mergeCell ref="K3:K4"/>
    <mergeCell ref="L3:L4"/>
    <mergeCell ref="M3:M4"/>
    <mergeCell ref="N3:N4"/>
    <mergeCell ref="O3:O4"/>
    <mergeCell ref="P3:P4"/>
    <mergeCell ref="D2:D4"/>
    <mergeCell ref="E2:E4"/>
    <mergeCell ref="F2:F4"/>
    <mergeCell ref="G2:G4"/>
    <mergeCell ref="H2:H4"/>
    <mergeCell ref="I2:I4"/>
    <mergeCell ref="J2:L2"/>
    <mergeCell ref="M2:P2"/>
    <mergeCell ref="Q2:Q4"/>
    <mergeCell ref="B5:R5"/>
    <mergeCell ref="B2:B3"/>
    <mergeCell ref="C2:C4"/>
  </mergeCells>
  <phoneticPr fontId="16" type="noConversion"/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topLeftCell="A154" workbookViewId="0">
      <selection activeCell="A32" sqref="A32"/>
    </sheetView>
  </sheetViews>
  <sheetFormatPr defaultRowHeight="15" x14ac:dyDescent="0.25"/>
  <cols>
    <col min="1" max="1" width="16.28515625" customWidth="1"/>
    <col min="2" max="22" width="6.140625" customWidth="1"/>
    <col min="23" max="23" width="7.140625" customWidth="1"/>
    <col min="24" max="26" width="6.140625" customWidth="1"/>
  </cols>
  <sheetData>
    <row r="1" spans="1:26" ht="15.75" thickBot="1" x14ac:dyDescent="0.3">
      <c r="A1" s="6" t="s">
        <v>22</v>
      </c>
      <c r="B1" s="7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  <c r="Z1" s="9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</row>
    <row r="3" spans="1:26" ht="55.5" x14ac:dyDescent="0.25">
      <c r="A3" s="10" t="s">
        <v>23</v>
      </c>
      <c r="B3" s="11" t="s">
        <v>24</v>
      </c>
      <c r="C3" s="11" t="s">
        <v>25</v>
      </c>
      <c r="D3" s="11" t="s">
        <v>26</v>
      </c>
      <c r="E3" s="11" t="s">
        <v>27</v>
      </c>
      <c r="F3" s="11" t="s">
        <v>28</v>
      </c>
      <c r="G3" s="11" t="s">
        <v>29</v>
      </c>
      <c r="H3" s="11" t="s">
        <v>30</v>
      </c>
      <c r="I3" s="11" t="s">
        <v>31</v>
      </c>
      <c r="J3" s="11" t="s">
        <v>32</v>
      </c>
      <c r="K3" s="11" t="s">
        <v>33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38</v>
      </c>
      <c r="Q3" s="11" t="s">
        <v>39</v>
      </c>
      <c r="R3" s="11" t="s">
        <v>40</v>
      </c>
      <c r="S3" s="11" t="s">
        <v>41</v>
      </c>
      <c r="T3" s="11" t="s">
        <v>42</v>
      </c>
      <c r="U3" s="11" t="s">
        <v>43</v>
      </c>
      <c r="V3" s="11" t="s">
        <v>44</v>
      </c>
      <c r="W3" s="11" t="s">
        <v>45</v>
      </c>
      <c r="X3" s="12" t="s">
        <v>46</v>
      </c>
      <c r="Y3" s="12" t="s">
        <v>47</v>
      </c>
      <c r="Z3" s="12"/>
    </row>
    <row r="4" spans="1:26" x14ac:dyDescent="0.25">
      <c r="A4" s="13" t="s">
        <v>48</v>
      </c>
      <c r="B4" s="14"/>
      <c r="C4" s="14">
        <v>1E-3</v>
      </c>
      <c r="D4" s="14"/>
      <c r="E4" s="14"/>
      <c r="F4" s="14"/>
      <c r="G4" s="14"/>
      <c r="H4" s="14"/>
      <c r="I4" s="14">
        <v>0.05</v>
      </c>
      <c r="J4" s="14"/>
      <c r="K4" s="15"/>
      <c r="L4" s="15">
        <v>8.0000000000000002E-3</v>
      </c>
      <c r="M4" s="15"/>
      <c r="N4" s="15"/>
      <c r="O4" s="15"/>
      <c r="P4" s="15"/>
      <c r="Q4" s="15"/>
      <c r="R4" s="15">
        <v>5.0000000000000001E-3</v>
      </c>
      <c r="S4" s="15"/>
      <c r="T4" s="14"/>
      <c r="U4" s="14"/>
      <c r="V4" s="14"/>
      <c r="W4" s="14"/>
      <c r="X4" s="14"/>
      <c r="Y4" s="14"/>
      <c r="Z4" s="14"/>
    </row>
    <row r="5" spans="1:26" x14ac:dyDescent="0.25">
      <c r="A5" s="13" t="s">
        <v>49</v>
      </c>
      <c r="B5" s="14"/>
      <c r="C5" s="14">
        <v>1E-3</v>
      </c>
      <c r="D5" s="14"/>
      <c r="E5" s="14">
        <v>0.04</v>
      </c>
      <c r="F5" s="14">
        <v>1.4999999999999999E-2</v>
      </c>
      <c r="G5" s="14">
        <v>0.02</v>
      </c>
      <c r="H5" s="14"/>
      <c r="I5" s="14"/>
      <c r="J5" s="14"/>
      <c r="K5" s="15"/>
      <c r="L5" s="15"/>
      <c r="M5" s="15"/>
      <c r="N5" s="15"/>
      <c r="O5" s="15"/>
      <c r="P5" s="15"/>
      <c r="Q5" s="15"/>
      <c r="R5" s="15"/>
      <c r="S5" s="15">
        <v>0.01</v>
      </c>
      <c r="T5" s="14"/>
      <c r="U5" s="14"/>
      <c r="V5" s="14"/>
      <c r="W5" s="14"/>
      <c r="X5" s="14"/>
      <c r="Y5" s="14">
        <v>0.03</v>
      </c>
      <c r="Z5" s="14"/>
    </row>
    <row r="6" spans="1:26" x14ac:dyDescent="0.25">
      <c r="A6" s="13" t="s">
        <v>50</v>
      </c>
      <c r="B6" s="14">
        <v>0.05</v>
      </c>
      <c r="C6" s="14"/>
      <c r="D6" s="14"/>
      <c r="E6" s="14"/>
      <c r="F6" s="14"/>
      <c r="G6" s="14"/>
      <c r="H6" s="14"/>
      <c r="I6" s="14"/>
      <c r="J6" s="14"/>
      <c r="K6" s="15"/>
      <c r="L6" s="15"/>
      <c r="M6" s="15"/>
      <c r="N6" s="15"/>
      <c r="O6" s="15"/>
      <c r="P6" s="15"/>
      <c r="Q6" s="15"/>
      <c r="R6" s="15"/>
      <c r="S6" s="15"/>
      <c r="T6" s="14"/>
      <c r="U6" s="14"/>
      <c r="V6" s="14"/>
      <c r="W6" s="14"/>
      <c r="X6" s="14"/>
      <c r="Y6" s="14"/>
      <c r="Z6" s="14"/>
    </row>
    <row r="7" spans="1:26" x14ac:dyDescent="0.25">
      <c r="A7" s="13" t="s">
        <v>51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15"/>
      <c r="M7" s="15"/>
      <c r="N7" s="15"/>
      <c r="O7" s="15"/>
      <c r="P7" s="15"/>
      <c r="Q7" s="15"/>
      <c r="R7" s="15"/>
      <c r="S7" s="15"/>
      <c r="T7" s="14">
        <v>1.4999999999999999E-2</v>
      </c>
      <c r="U7" s="14">
        <v>0.01</v>
      </c>
      <c r="V7" s="14"/>
      <c r="W7" s="14"/>
      <c r="X7" s="14"/>
      <c r="Y7" s="14"/>
      <c r="Z7" s="14"/>
    </row>
    <row r="8" spans="1:26" x14ac:dyDescent="0.25">
      <c r="A8" s="13" t="s">
        <v>52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5"/>
      <c r="M8" s="15"/>
      <c r="N8" s="15"/>
      <c r="O8" s="15"/>
      <c r="P8" s="15"/>
      <c r="Q8" s="15"/>
      <c r="R8" s="15"/>
      <c r="S8" s="15"/>
      <c r="T8" s="14"/>
      <c r="U8" s="14"/>
      <c r="V8" s="14"/>
      <c r="W8" s="14">
        <v>0.1</v>
      </c>
      <c r="X8" s="14"/>
      <c r="Y8" s="14"/>
      <c r="Z8" s="14"/>
    </row>
    <row r="9" spans="1:26" x14ac:dyDescent="0.25">
      <c r="A9" s="13" t="s">
        <v>53</v>
      </c>
      <c r="B9" s="14"/>
      <c r="C9" s="14">
        <v>1E-3</v>
      </c>
      <c r="D9" s="14">
        <v>0.1</v>
      </c>
      <c r="E9" s="14"/>
      <c r="F9" s="14"/>
      <c r="G9" s="14"/>
      <c r="H9" s="14"/>
      <c r="I9" s="14"/>
      <c r="J9" s="14"/>
      <c r="K9" s="15"/>
      <c r="L9" s="15"/>
      <c r="M9" s="15"/>
      <c r="N9" s="15"/>
      <c r="O9" s="15"/>
      <c r="P9" s="15"/>
      <c r="Q9" s="15"/>
      <c r="R9" s="15"/>
      <c r="S9" s="15"/>
      <c r="T9" s="14"/>
      <c r="U9" s="14"/>
      <c r="V9" s="14"/>
      <c r="W9" s="14"/>
      <c r="X9" s="14"/>
      <c r="Y9" s="14"/>
      <c r="Z9" s="14"/>
    </row>
    <row r="10" spans="1:26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4"/>
      <c r="U10" s="14" t="s">
        <v>54</v>
      </c>
      <c r="V10" s="14"/>
      <c r="W10" s="14"/>
      <c r="X10" s="14"/>
      <c r="Y10" s="14"/>
      <c r="Z10" s="14"/>
    </row>
    <row r="11" spans="1:26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4"/>
      <c r="U11" s="14"/>
      <c r="V11" s="14"/>
      <c r="W11" s="14"/>
      <c r="X11" s="14"/>
      <c r="Y11" s="14"/>
      <c r="Z11" s="14"/>
    </row>
    <row r="12" spans="1:26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5"/>
      <c r="M12" s="15"/>
      <c r="N12" s="15"/>
      <c r="O12" s="15"/>
      <c r="P12" s="15"/>
      <c r="Q12" s="15"/>
      <c r="R12" s="15"/>
      <c r="S12" s="15"/>
      <c r="T12" s="14"/>
      <c r="U12" s="14"/>
      <c r="V12" s="14"/>
      <c r="W12" s="14"/>
      <c r="X12" s="14"/>
      <c r="Y12" s="14"/>
      <c r="Z12" s="14"/>
    </row>
    <row r="13" spans="1:26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5"/>
      <c r="M13" s="15"/>
      <c r="N13" s="15"/>
      <c r="O13" s="15"/>
      <c r="P13" s="15"/>
      <c r="Q13" s="15"/>
      <c r="R13" s="15"/>
      <c r="S13" s="15"/>
      <c r="T13" s="14"/>
      <c r="U13" s="14"/>
      <c r="V13" s="14"/>
      <c r="W13" s="14"/>
      <c r="X13" s="14"/>
      <c r="Y13" s="14"/>
      <c r="Z13" s="14"/>
    </row>
    <row r="14" spans="1:26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15"/>
      <c r="M14" s="15"/>
      <c r="N14" s="15"/>
      <c r="O14" s="15"/>
      <c r="P14" s="15"/>
      <c r="Q14" s="15"/>
      <c r="R14" s="15"/>
      <c r="S14" s="15"/>
      <c r="T14" s="14"/>
      <c r="U14" s="14"/>
      <c r="V14" s="14"/>
      <c r="W14" s="14"/>
      <c r="X14" s="14"/>
      <c r="Y14" s="14"/>
      <c r="Z14" s="14"/>
    </row>
    <row r="15" spans="1:26" x14ac:dyDescent="0.25">
      <c r="A15" s="13"/>
      <c r="C15" s="14"/>
      <c r="D15" s="14"/>
      <c r="E15" s="14"/>
      <c r="F15" s="14"/>
      <c r="G15" s="14"/>
      <c r="H15" s="14"/>
      <c r="I15" s="14"/>
      <c r="J15" s="14"/>
      <c r="K15" s="15"/>
      <c r="L15" s="15"/>
      <c r="M15" s="15"/>
      <c r="N15" s="15"/>
      <c r="O15" s="15"/>
      <c r="P15" s="15"/>
      <c r="Q15" s="15"/>
      <c r="R15" s="15"/>
      <c r="S15" s="15"/>
      <c r="T15" s="14"/>
      <c r="U15" s="14"/>
      <c r="V15" s="14"/>
      <c r="W15" s="14"/>
      <c r="X15" s="14"/>
      <c r="Y15" s="14"/>
      <c r="Z15" s="14"/>
    </row>
    <row r="16" spans="1:26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5"/>
      <c r="M16" s="15"/>
      <c r="N16" s="15"/>
      <c r="O16" s="15"/>
      <c r="P16" s="15"/>
      <c r="Q16" s="15"/>
      <c r="R16" s="15"/>
      <c r="S16" s="15"/>
      <c r="T16" s="14"/>
      <c r="U16" s="14"/>
      <c r="V16" s="14"/>
      <c r="W16" s="14"/>
      <c r="X16" s="14"/>
      <c r="Y16" s="14"/>
      <c r="Z16" s="14"/>
    </row>
    <row r="17" spans="1:30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5"/>
      <c r="M17" s="15"/>
      <c r="N17" s="15"/>
      <c r="O17" s="15"/>
      <c r="P17" s="15"/>
      <c r="Q17" s="15"/>
      <c r="R17" s="15"/>
      <c r="S17" s="15"/>
      <c r="T17" s="14"/>
      <c r="U17" s="14"/>
      <c r="V17" s="14"/>
      <c r="W17" s="14"/>
      <c r="X17" s="14"/>
      <c r="Y17" s="14"/>
      <c r="Z17" s="14"/>
    </row>
    <row r="18" spans="1:30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5"/>
      <c r="M18" s="15"/>
      <c r="N18" s="15"/>
      <c r="O18" s="15"/>
      <c r="P18" s="15"/>
      <c r="Q18" s="15"/>
      <c r="R18" s="15"/>
      <c r="S18" s="15"/>
      <c r="T18" s="14"/>
      <c r="U18" s="14"/>
      <c r="V18" s="14"/>
      <c r="W18" s="14"/>
      <c r="X18" s="14"/>
      <c r="Y18" s="14"/>
      <c r="Z18" s="14"/>
    </row>
    <row r="19" spans="1:30" x14ac:dyDescent="0.25">
      <c r="A19" s="13" t="s">
        <v>55</v>
      </c>
      <c r="B19" s="16">
        <f>SUM(B4:B18)</f>
        <v>0.05</v>
      </c>
      <c r="C19" s="16">
        <f t="shared" ref="C19:X19" si="0">SUM(C4:C18)</f>
        <v>3.0000000000000001E-3</v>
      </c>
      <c r="D19" s="16">
        <f t="shared" si="0"/>
        <v>0.1</v>
      </c>
      <c r="E19" s="16">
        <f t="shared" si="0"/>
        <v>0.04</v>
      </c>
      <c r="F19" s="16">
        <f t="shared" si="0"/>
        <v>1.4999999999999999E-2</v>
      </c>
      <c r="G19" s="16">
        <f t="shared" si="0"/>
        <v>0.02</v>
      </c>
      <c r="H19" s="16">
        <f t="shared" si="0"/>
        <v>0</v>
      </c>
      <c r="I19" s="16">
        <f t="shared" si="0"/>
        <v>0.05</v>
      </c>
      <c r="J19" s="16">
        <f t="shared" si="0"/>
        <v>0</v>
      </c>
      <c r="K19" s="16">
        <f t="shared" si="0"/>
        <v>0</v>
      </c>
      <c r="L19" s="16">
        <f t="shared" si="0"/>
        <v>8.0000000000000002E-3</v>
      </c>
      <c r="M19" s="16">
        <f t="shared" si="0"/>
        <v>0</v>
      </c>
      <c r="N19" s="16">
        <f t="shared" si="0"/>
        <v>0</v>
      </c>
      <c r="O19" s="16">
        <f t="shared" si="0"/>
        <v>0</v>
      </c>
      <c r="P19" s="16">
        <f t="shared" si="0"/>
        <v>0</v>
      </c>
      <c r="Q19" s="16">
        <f t="shared" si="0"/>
        <v>0</v>
      </c>
      <c r="R19" s="16">
        <f t="shared" si="0"/>
        <v>5.0000000000000001E-3</v>
      </c>
      <c r="S19" s="16">
        <f t="shared" si="0"/>
        <v>0.01</v>
      </c>
      <c r="T19" s="16">
        <f t="shared" si="0"/>
        <v>1.4999999999999999E-2</v>
      </c>
      <c r="U19" s="16">
        <f t="shared" si="0"/>
        <v>0.01</v>
      </c>
      <c r="V19" s="16">
        <f t="shared" si="0"/>
        <v>0</v>
      </c>
      <c r="W19" s="16">
        <f t="shared" si="0"/>
        <v>0.1</v>
      </c>
      <c r="X19" s="16">
        <f t="shared" si="0"/>
        <v>0</v>
      </c>
      <c r="Y19" s="16">
        <v>0.04</v>
      </c>
      <c r="Z19" s="16"/>
    </row>
    <row r="20" spans="1:30" x14ac:dyDescent="0.25">
      <c r="A20" s="13" t="s">
        <v>56</v>
      </c>
      <c r="B20" s="17">
        <f>B1*B19</f>
        <v>0.05</v>
      </c>
      <c r="C20" s="17">
        <f>C19*B1</f>
        <v>3.0000000000000001E-3</v>
      </c>
      <c r="D20" s="17">
        <f>D19*B1</f>
        <v>0.1</v>
      </c>
      <c r="E20" s="17">
        <f>B1*E19</f>
        <v>0.04</v>
      </c>
      <c r="F20" s="17">
        <f>F19*B1</f>
        <v>1.4999999999999999E-2</v>
      </c>
      <c r="G20" s="17">
        <f>B1*G19</f>
        <v>0.02</v>
      </c>
      <c r="H20" s="17">
        <f>B1*H19</f>
        <v>0</v>
      </c>
      <c r="I20" s="17">
        <f>B1*I19</f>
        <v>0.05</v>
      </c>
      <c r="J20" s="17">
        <f>B1*J19</f>
        <v>0</v>
      </c>
      <c r="K20" s="17">
        <f>B1*K19</f>
        <v>0</v>
      </c>
      <c r="L20" s="17">
        <f>B1*L19</f>
        <v>8.0000000000000002E-3</v>
      </c>
      <c r="M20" s="17">
        <f>B1*M19</f>
        <v>0</v>
      </c>
      <c r="N20" s="17">
        <f>B1*N19</f>
        <v>0</v>
      </c>
      <c r="O20" s="17">
        <f>B1*O19</f>
        <v>0</v>
      </c>
      <c r="P20" s="17">
        <f>B1*P19</f>
        <v>0</v>
      </c>
      <c r="Q20" s="17">
        <f>B1*Q19</f>
        <v>0</v>
      </c>
      <c r="R20" s="17">
        <f>B1*R19</f>
        <v>5.0000000000000001E-3</v>
      </c>
      <c r="S20" s="17">
        <f>B1*S19</f>
        <v>0.01</v>
      </c>
      <c r="T20" s="17">
        <f>B1*T19</f>
        <v>1.4999999999999999E-2</v>
      </c>
      <c r="U20" s="17">
        <f>B1*U19</f>
        <v>0.01</v>
      </c>
      <c r="V20" s="17">
        <f>B1*V19</f>
        <v>0</v>
      </c>
      <c r="W20" s="17">
        <f>B1*W19</f>
        <v>0.1</v>
      </c>
      <c r="X20" s="17">
        <f>B11*X19</f>
        <v>0</v>
      </c>
      <c r="Y20" s="17">
        <f>B1*Y19</f>
        <v>0.04</v>
      </c>
      <c r="Z20" s="17"/>
    </row>
    <row r="21" spans="1:30" x14ac:dyDescent="0.25">
      <c r="A21" s="13" t="s">
        <v>57</v>
      </c>
      <c r="B21" s="13">
        <v>50</v>
      </c>
      <c r="C21" s="13">
        <v>20</v>
      </c>
      <c r="D21" s="13">
        <v>240</v>
      </c>
      <c r="E21" s="13">
        <v>60</v>
      </c>
      <c r="F21" s="13">
        <v>40</v>
      </c>
      <c r="G21" s="13">
        <v>60</v>
      </c>
      <c r="H21" s="13">
        <v>30</v>
      </c>
      <c r="I21" s="13">
        <v>60</v>
      </c>
      <c r="J21" s="13">
        <v>55</v>
      </c>
      <c r="K21" s="13">
        <v>60</v>
      </c>
      <c r="L21" s="13">
        <v>270</v>
      </c>
      <c r="M21" s="13">
        <v>80</v>
      </c>
      <c r="N21" s="13">
        <v>500</v>
      </c>
      <c r="O21" s="13">
        <v>500</v>
      </c>
      <c r="P21" s="13">
        <v>80</v>
      </c>
      <c r="Q21" s="13">
        <v>27</v>
      </c>
      <c r="R21" s="13">
        <v>100</v>
      </c>
      <c r="S21" s="13">
        <v>300</v>
      </c>
      <c r="T21" s="13">
        <v>600</v>
      </c>
      <c r="U21" s="13">
        <v>60</v>
      </c>
      <c r="V21" s="13">
        <v>180</v>
      </c>
      <c r="W21" s="13">
        <v>120</v>
      </c>
      <c r="X21" s="13">
        <v>1100</v>
      </c>
      <c r="Y21" s="13">
        <v>60</v>
      </c>
      <c r="Z21" s="13"/>
    </row>
    <row r="22" spans="1:30" ht="15.75" thickBot="1" x14ac:dyDescent="0.3">
      <c r="A22" s="13" t="s">
        <v>58</v>
      </c>
      <c r="B22" s="18">
        <f>B20*B21</f>
        <v>2.5</v>
      </c>
      <c r="C22" s="18">
        <f t="shared" ref="C22:Y22" si="1">C20*C21</f>
        <v>0.06</v>
      </c>
      <c r="D22" s="18">
        <f t="shared" si="1"/>
        <v>24</v>
      </c>
      <c r="E22" s="18">
        <f t="shared" si="1"/>
        <v>2.4</v>
      </c>
      <c r="F22" s="18">
        <f t="shared" si="1"/>
        <v>0.6</v>
      </c>
      <c r="G22" s="18">
        <f t="shared" si="1"/>
        <v>1.2</v>
      </c>
      <c r="H22" s="18">
        <f t="shared" si="1"/>
        <v>0</v>
      </c>
      <c r="I22" s="18">
        <f t="shared" si="1"/>
        <v>3</v>
      </c>
      <c r="J22" s="18">
        <f t="shared" si="1"/>
        <v>0</v>
      </c>
      <c r="K22" s="18">
        <f t="shared" si="1"/>
        <v>0</v>
      </c>
      <c r="L22" s="18">
        <f t="shared" si="1"/>
        <v>2.16</v>
      </c>
      <c r="M22" s="18">
        <f t="shared" si="1"/>
        <v>0</v>
      </c>
      <c r="N22" s="18">
        <f t="shared" si="1"/>
        <v>0</v>
      </c>
      <c r="O22" s="18">
        <f t="shared" si="1"/>
        <v>0</v>
      </c>
      <c r="P22" s="18">
        <f t="shared" si="1"/>
        <v>0</v>
      </c>
      <c r="Q22" s="18">
        <f t="shared" si="1"/>
        <v>0</v>
      </c>
      <c r="R22" s="18">
        <f t="shared" si="1"/>
        <v>0.5</v>
      </c>
      <c r="S22" s="18">
        <f t="shared" si="1"/>
        <v>3</v>
      </c>
      <c r="T22" s="18">
        <f t="shared" si="1"/>
        <v>9</v>
      </c>
      <c r="U22" s="18">
        <f t="shared" si="1"/>
        <v>0.6</v>
      </c>
      <c r="V22" s="18">
        <f t="shared" si="1"/>
        <v>0</v>
      </c>
      <c r="W22" s="18">
        <f t="shared" si="1"/>
        <v>12</v>
      </c>
      <c r="X22" s="18">
        <f t="shared" si="1"/>
        <v>0</v>
      </c>
      <c r="Y22" s="18">
        <f t="shared" si="1"/>
        <v>2.4</v>
      </c>
      <c r="Z22" s="18"/>
    </row>
    <row r="23" spans="1:30" ht="15.75" thickBot="1" x14ac:dyDescent="0.3">
      <c r="A23" s="8" t="s">
        <v>59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19">
        <f>SUM(B22:X22)/B1</f>
        <v>61.02</v>
      </c>
      <c r="X23" s="20"/>
      <c r="Y23" s="20"/>
      <c r="Z23" s="19"/>
    </row>
    <row r="24" spans="1:30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21"/>
      <c r="X24" s="21"/>
      <c r="Y24" s="9"/>
      <c r="Z24" s="9"/>
    </row>
    <row r="25" spans="1:30" ht="15.75" thickBo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9"/>
      <c r="Z25" s="9"/>
    </row>
    <row r="26" spans="1:30" ht="15.75" thickBot="1" x14ac:dyDescent="0.3">
      <c r="A26" s="6" t="s">
        <v>22</v>
      </c>
      <c r="B26" s="7">
        <v>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9"/>
      <c r="Z26" s="9"/>
    </row>
    <row r="27" spans="1:3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9"/>
      <c r="Z27" s="9"/>
    </row>
    <row r="28" spans="1:30" ht="55.5" x14ac:dyDescent="0.25">
      <c r="A28" s="10" t="s">
        <v>23</v>
      </c>
      <c r="B28" s="11" t="s">
        <v>24</v>
      </c>
      <c r="C28" s="11" t="s">
        <v>25</v>
      </c>
      <c r="D28" s="11" t="s">
        <v>26</v>
      </c>
      <c r="E28" s="11" t="s">
        <v>27</v>
      </c>
      <c r="F28" s="11" t="s">
        <v>28</v>
      </c>
      <c r="G28" s="11" t="s">
        <v>29</v>
      </c>
      <c r="H28" s="11" t="s">
        <v>30</v>
      </c>
      <c r="I28" s="11" t="s">
        <v>31</v>
      </c>
      <c r="J28" s="11" t="s">
        <v>32</v>
      </c>
      <c r="K28" s="11" t="s">
        <v>33</v>
      </c>
      <c r="L28" s="11" t="s">
        <v>34</v>
      </c>
      <c r="M28" s="11" t="s">
        <v>35</v>
      </c>
      <c r="N28" s="11" t="s">
        <v>36</v>
      </c>
      <c r="O28" s="11" t="s">
        <v>37</v>
      </c>
      <c r="P28" s="11" t="s">
        <v>38</v>
      </c>
      <c r="Q28" s="11" t="s">
        <v>39</v>
      </c>
      <c r="R28" s="11" t="s">
        <v>40</v>
      </c>
      <c r="S28" s="11" t="s">
        <v>41</v>
      </c>
      <c r="T28" s="11" t="s">
        <v>42</v>
      </c>
      <c r="U28" s="11" t="s">
        <v>43</v>
      </c>
      <c r="V28" s="11" t="s">
        <v>44</v>
      </c>
      <c r="W28" s="11" t="s">
        <v>45</v>
      </c>
      <c r="X28" s="12" t="s">
        <v>46</v>
      </c>
      <c r="Y28" s="12" t="s">
        <v>47</v>
      </c>
      <c r="Z28" s="12"/>
    </row>
    <row r="29" spans="1:30" x14ac:dyDescent="0.25">
      <c r="A29" s="13" t="s">
        <v>85</v>
      </c>
      <c r="B29" s="14"/>
      <c r="C29" s="14">
        <v>1E-3</v>
      </c>
      <c r="D29" s="14"/>
      <c r="E29" s="14"/>
      <c r="F29" s="14"/>
      <c r="G29" s="14"/>
      <c r="H29" s="14"/>
      <c r="I29" s="14">
        <v>0.05</v>
      </c>
      <c r="J29" s="14"/>
      <c r="K29" s="15"/>
      <c r="L29" s="15">
        <v>8.0000000000000002E-3</v>
      </c>
      <c r="M29" s="15"/>
      <c r="N29" s="15"/>
      <c r="O29" s="15"/>
      <c r="P29" s="15"/>
      <c r="Q29" s="15"/>
      <c r="R29" s="15">
        <v>5.0000000000000001E-3</v>
      </c>
      <c r="S29" s="15"/>
      <c r="T29" s="14"/>
      <c r="U29" s="14"/>
      <c r="V29" s="14"/>
      <c r="W29" s="14"/>
      <c r="X29" s="14"/>
      <c r="Y29" s="14"/>
      <c r="Z29" s="14"/>
    </row>
    <row r="30" spans="1:30" x14ac:dyDescent="0.25">
      <c r="A30" s="13" t="s">
        <v>83</v>
      </c>
      <c r="B30" s="14"/>
      <c r="C30" s="14">
        <v>1E-3</v>
      </c>
      <c r="D30" s="14"/>
      <c r="E30" s="14">
        <v>0.04</v>
      </c>
      <c r="F30" s="14">
        <v>1.4999999999999999E-2</v>
      </c>
      <c r="G30" s="14">
        <v>0.02</v>
      </c>
      <c r="H30" s="14"/>
      <c r="I30" s="14"/>
      <c r="J30" s="14"/>
      <c r="K30" s="15"/>
      <c r="L30" s="15"/>
      <c r="M30" s="15"/>
      <c r="N30" s="15"/>
      <c r="O30" s="15"/>
      <c r="P30" s="15"/>
      <c r="Q30" s="15"/>
      <c r="R30" s="15"/>
      <c r="S30" s="15">
        <v>0.01</v>
      </c>
      <c r="T30" s="14"/>
      <c r="U30" s="14"/>
      <c r="V30" s="14"/>
      <c r="W30" s="14"/>
      <c r="X30" s="14"/>
      <c r="Y30" s="14">
        <v>0.03</v>
      </c>
      <c r="Z30" s="14"/>
    </row>
    <row r="31" spans="1:30" x14ac:dyDescent="0.25">
      <c r="A31" s="13" t="s">
        <v>50</v>
      </c>
      <c r="B31" s="14">
        <v>0.05</v>
      </c>
      <c r="C31" s="14"/>
      <c r="D31" s="14"/>
      <c r="E31" s="14"/>
      <c r="F31" s="14"/>
      <c r="G31" s="14"/>
      <c r="H31" s="14"/>
      <c r="I31" s="14"/>
      <c r="J31" s="14"/>
      <c r="K31" s="15"/>
      <c r="L31" s="15"/>
      <c r="M31" s="15"/>
      <c r="N31" s="15"/>
      <c r="O31" s="15"/>
      <c r="P31" s="15"/>
      <c r="Q31" s="15"/>
      <c r="R31" s="15"/>
      <c r="S31" s="15"/>
      <c r="T31" s="14"/>
      <c r="U31" s="14"/>
      <c r="V31" s="14"/>
      <c r="W31" s="14"/>
      <c r="X31" s="14"/>
      <c r="Y31" s="14"/>
      <c r="Z31" s="14"/>
    </row>
    <row r="32" spans="1:30" x14ac:dyDescent="0.25">
      <c r="A32" s="13" t="s">
        <v>90</v>
      </c>
      <c r="B32" s="14"/>
      <c r="C32" s="14"/>
      <c r="D32" s="14"/>
      <c r="E32" s="14"/>
      <c r="F32" s="14"/>
      <c r="G32" s="14"/>
      <c r="H32" s="14"/>
      <c r="I32" s="14"/>
      <c r="J32" s="14"/>
      <c r="K32" s="15"/>
      <c r="L32" s="15"/>
      <c r="M32" s="15"/>
      <c r="N32" s="15"/>
      <c r="O32" s="15"/>
      <c r="P32" s="15"/>
      <c r="Q32" s="15"/>
      <c r="R32" s="15"/>
      <c r="S32" s="15"/>
      <c r="T32" s="14"/>
      <c r="U32" s="14">
        <v>0.01</v>
      </c>
      <c r="V32" s="14"/>
      <c r="W32" s="14"/>
      <c r="X32" s="14">
        <v>1E-3</v>
      </c>
      <c r="Y32" s="14"/>
      <c r="Z32" s="14"/>
      <c r="AD32">
        <v>1</v>
      </c>
    </row>
    <row r="33" spans="1:26" x14ac:dyDescent="0.25">
      <c r="A33" s="13" t="s">
        <v>52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/>
      <c r="N33" s="15"/>
      <c r="O33" s="15"/>
      <c r="P33" s="15"/>
      <c r="Q33" s="15"/>
      <c r="R33" s="15"/>
      <c r="S33" s="15"/>
      <c r="T33" s="14"/>
      <c r="U33" s="14"/>
      <c r="V33" s="14"/>
      <c r="W33" s="14">
        <v>0.1</v>
      </c>
      <c r="X33" s="14"/>
      <c r="Y33" s="14"/>
      <c r="Z33" s="14"/>
    </row>
    <row r="34" spans="1:26" x14ac:dyDescent="0.25">
      <c r="A34" s="13" t="s">
        <v>53</v>
      </c>
      <c r="B34" s="14"/>
      <c r="C34" s="14">
        <v>1E-3</v>
      </c>
      <c r="D34" s="14">
        <v>0.13500000000000001</v>
      </c>
      <c r="E34" s="14"/>
      <c r="F34" s="14"/>
      <c r="G34" s="14"/>
      <c r="H34" s="14"/>
      <c r="I34" s="14"/>
      <c r="J34" s="14"/>
      <c r="K34" s="15"/>
      <c r="L34" s="15"/>
      <c r="M34" s="15"/>
      <c r="N34" s="15"/>
      <c r="O34" s="15"/>
      <c r="P34" s="15"/>
      <c r="Q34" s="15"/>
      <c r="R34" s="15"/>
      <c r="S34" s="15"/>
      <c r="T34" s="14"/>
      <c r="U34" s="14"/>
      <c r="V34" s="14"/>
      <c r="W34" s="14"/>
      <c r="X34" s="14"/>
      <c r="Y34" s="14"/>
      <c r="Z34" s="14"/>
    </row>
    <row r="35" spans="1:26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15"/>
      <c r="M35" s="15"/>
      <c r="N35" s="15"/>
      <c r="O35" s="15"/>
      <c r="P35" s="15"/>
      <c r="Q35" s="15"/>
      <c r="R35" s="15"/>
      <c r="S35" s="15"/>
      <c r="T35" s="14"/>
      <c r="U35" s="14" t="s">
        <v>54</v>
      </c>
      <c r="V35" s="14"/>
      <c r="W35" s="14"/>
      <c r="X35" s="14"/>
      <c r="Y35" s="14"/>
      <c r="Z35" s="14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5"/>
      <c r="L36" s="15"/>
      <c r="M36" s="15"/>
      <c r="N36" s="15"/>
      <c r="O36" s="15"/>
      <c r="P36" s="15"/>
      <c r="Q36" s="15"/>
      <c r="R36" s="15"/>
      <c r="S36" s="15"/>
      <c r="T36" s="14"/>
      <c r="U36" s="14"/>
      <c r="V36" s="14"/>
      <c r="W36" s="14"/>
      <c r="X36" s="14"/>
      <c r="Y36" s="14"/>
      <c r="Z36" s="14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15"/>
      <c r="M37" s="15"/>
      <c r="N37" s="15"/>
      <c r="O37" s="15"/>
      <c r="P37" s="15"/>
      <c r="Q37" s="15"/>
      <c r="R37" s="15"/>
      <c r="S37" s="15"/>
      <c r="T37" s="14"/>
      <c r="U37" s="14"/>
      <c r="V37" s="14"/>
      <c r="W37" s="14"/>
      <c r="X37" s="14"/>
      <c r="Y37" s="14"/>
      <c r="Z37" s="14"/>
    </row>
    <row r="38" spans="1:26" x14ac:dyDescent="0.2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5"/>
      <c r="L38" s="15"/>
      <c r="M38" s="15"/>
      <c r="N38" s="15"/>
      <c r="O38" s="15"/>
      <c r="P38" s="15"/>
      <c r="Q38" s="15"/>
      <c r="R38" s="15"/>
      <c r="S38" s="15"/>
      <c r="T38" s="14"/>
      <c r="U38" s="14"/>
      <c r="V38" s="14"/>
      <c r="W38" s="14"/>
      <c r="X38" s="14"/>
      <c r="Y38" s="14"/>
      <c r="Z38" s="14"/>
    </row>
    <row r="39" spans="1:26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5"/>
      <c r="L39" s="15"/>
      <c r="M39" s="15"/>
      <c r="N39" s="15"/>
      <c r="O39" s="15"/>
      <c r="P39" s="15"/>
      <c r="Q39" s="15"/>
      <c r="R39" s="15"/>
      <c r="S39" s="15"/>
      <c r="T39" s="14"/>
      <c r="U39" s="14"/>
      <c r="V39" s="14"/>
      <c r="W39" s="14"/>
      <c r="X39" s="14"/>
      <c r="Y39" s="14"/>
      <c r="Z39" s="14"/>
    </row>
    <row r="40" spans="1:26" x14ac:dyDescent="0.25">
      <c r="A40" s="13"/>
      <c r="C40" s="14"/>
      <c r="D40" s="14"/>
      <c r="E40" s="14"/>
      <c r="F40" s="14"/>
      <c r="G40" s="14"/>
      <c r="H40" s="14"/>
      <c r="I40" s="14"/>
      <c r="J40" s="14"/>
      <c r="K40" s="15"/>
      <c r="L40" s="15"/>
      <c r="M40" s="15"/>
      <c r="N40" s="15"/>
      <c r="O40" s="15"/>
      <c r="P40" s="15"/>
      <c r="Q40" s="15"/>
      <c r="R40" s="15"/>
      <c r="S40" s="15"/>
      <c r="T40" s="14"/>
      <c r="U40" s="14"/>
      <c r="V40" s="14"/>
      <c r="W40" s="14"/>
      <c r="X40" s="14"/>
      <c r="Y40" s="14"/>
      <c r="Z40" s="14"/>
    </row>
    <row r="41" spans="1:26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5"/>
      <c r="L41" s="15"/>
      <c r="M41" s="15"/>
      <c r="N41" s="15"/>
      <c r="O41" s="15"/>
      <c r="P41" s="15"/>
      <c r="Q41" s="15"/>
      <c r="R41" s="15"/>
      <c r="S41" s="15"/>
      <c r="T41" s="14"/>
      <c r="U41" s="14"/>
      <c r="V41" s="14"/>
      <c r="W41" s="14"/>
      <c r="X41" s="14"/>
      <c r="Y41" s="14"/>
      <c r="Z41" s="14"/>
    </row>
    <row r="42" spans="1:26" x14ac:dyDescent="0.25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15"/>
      <c r="M42" s="15"/>
      <c r="N42" s="15"/>
      <c r="O42" s="15"/>
      <c r="P42" s="15"/>
      <c r="Q42" s="15"/>
      <c r="R42" s="15"/>
      <c r="S42" s="15"/>
      <c r="T42" s="14"/>
      <c r="U42" s="14"/>
      <c r="V42" s="14"/>
      <c r="W42" s="14"/>
      <c r="X42" s="14"/>
      <c r="Y42" s="14"/>
      <c r="Z42" s="14"/>
    </row>
    <row r="43" spans="1:26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15"/>
      <c r="M43" s="15"/>
      <c r="N43" s="15"/>
      <c r="O43" s="15"/>
      <c r="P43" s="15"/>
      <c r="Q43" s="15"/>
      <c r="R43" s="15"/>
      <c r="S43" s="15"/>
      <c r="T43" s="14"/>
      <c r="U43" s="14"/>
      <c r="V43" s="14"/>
      <c r="W43" s="14"/>
      <c r="X43" s="14"/>
      <c r="Y43" s="14"/>
      <c r="Z43" s="14"/>
    </row>
    <row r="44" spans="1:26" x14ac:dyDescent="0.25">
      <c r="A44" s="13" t="s">
        <v>55</v>
      </c>
      <c r="B44" s="16">
        <f>SUM(B29:B43)</f>
        <v>0.05</v>
      </c>
      <c r="C44" s="16">
        <f t="shared" ref="C44:X44" si="2">SUM(C29:C43)</f>
        <v>3.0000000000000001E-3</v>
      </c>
      <c r="D44" s="16">
        <f t="shared" si="2"/>
        <v>0.13500000000000001</v>
      </c>
      <c r="E44" s="16">
        <f t="shared" si="2"/>
        <v>0.04</v>
      </c>
      <c r="F44" s="16">
        <f t="shared" si="2"/>
        <v>1.4999999999999999E-2</v>
      </c>
      <c r="G44" s="16">
        <f t="shared" si="2"/>
        <v>0.02</v>
      </c>
      <c r="H44" s="16">
        <f t="shared" si="2"/>
        <v>0</v>
      </c>
      <c r="I44" s="16">
        <f t="shared" si="2"/>
        <v>0.05</v>
      </c>
      <c r="J44" s="16">
        <f t="shared" si="2"/>
        <v>0</v>
      </c>
      <c r="K44" s="16">
        <f t="shared" si="2"/>
        <v>0</v>
      </c>
      <c r="L44" s="16">
        <f t="shared" si="2"/>
        <v>8.0000000000000002E-3</v>
      </c>
      <c r="M44" s="16">
        <f t="shared" si="2"/>
        <v>0</v>
      </c>
      <c r="N44" s="16">
        <f t="shared" si="2"/>
        <v>0</v>
      </c>
      <c r="O44" s="16">
        <f t="shared" si="2"/>
        <v>0</v>
      </c>
      <c r="P44" s="16">
        <f t="shared" si="2"/>
        <v>0</v>
      </c>
      <c r="Q44" s="16">
        <f t="shared" si="2"/>
        <v>0</v>
      </c>
      <c r="R44" s="16">
        <f t="shared" si="2"/>
        <v>5.0000000000000001E-3</v>
      </c>
      <c r="S44" s="16">
        <f t="shared" si="2"/>
        <v>0.01</v>
      </c>
      <c r="T44" s="16">
        <f t="shared" si="2"/>
        <v>0</v>
      </c>
      <c r="U44" s="16">
        <f t="shared" si="2"/>
        <v>0.01</v>
      </c>
      <c r="V44" s="16">
        <f t="shared" si="2"/>
        <v>0</v>
      </c>
      <c r="W44" s="16">
        <f t="shared" si="2"/>
        <v>0.1</v>
      </c>
      <c r="X44" s="16">
        <f t="shared" si="2"/>
        <v>1E-3</v>
      </c>
      <c r="Y44" s="16">
        <v>0.04</v>
      </c>
      <c r="Z44" s="16"/>
    </row>
    <row r="45" spans="1:26" x14ac:dyDescent="0.25">
      <c r="A45" s="13" t="s">
        <v>56</v>
      </c>
      <c r="B45" s="17">
        <f>B26*B44</f>
        <v>0.05</v>
      </c>
      <c r="C45" s="17">
        <f>C44*B26</f>
        <v>3.0000000000000001E-3</v>
      </c>
      <c r="D45" s="17">
        <f>D44*B26</f>
        <v>0.13500000000000001</v>
      </c>
      <c r="E45" s="17">
        <f>B26*E44</f>
        <v>0.04</v>
      </c>
      <c r="F45" s="17">
        <f>F44*B26</f>
        <v>1.4999999999999999E-2</v>
      </c>
      <c r="G45" s="17">
        <f>B26*G44</f>
        <v>0.02</v>
      </c>
      <c r="H45" s="17">
        <f>B26*H44</f>
        <v>0</v>
      </c>
      <c r="I45" s="17">
        <f>B26*I44</f>
        <v>0.05</v>
      </c>
      <c r="J45" s="17">
        <f>B26*J44</f>
        <v>0</v>
      </c>
      <c r="K45" s="17">
        <f>B26*K44</f>
        <v>0</v>
      </c>
      <c r="L45" s="17">
        <f>B26*L44</f>
        <v>8.0000000000000002E-3</v>
      </c>
      <c r="M45" s="17">
        <f>B26*M44</f>
        <v>0</v>
      </c>
      <c r="N45" s="17">
        <f>B26*N44</f>
        <v>0</v>
      </c>
      <c r="O45" s="17">
        <f>B26*O44</f>
        <v>0</v>
      </c>
      <c r="P45" s="17">
        <f>B26*P44</f>
        <v>0</v>
      </c>
      <c r="Q45" s="17">
        <f>B26*Q44</f>
        <v>0</v>
      </c>
      <c r="R45" s="17">
        <f>B26*R44</f>
        <v>5.0000000000000001E-3</v>
      </c>
      <c r="S45" s="17">
        <f>B26*S44</f>
        <v>0.01</v>
      </c>
      <c r="T45" s="17">
        <f>B26*T44</f>
        <v>0</v>
      </c>
      <c r="U45" s="17">
        <f>B26*U44</f>
        <v>0.01</v>
      </c>
      <c r="V45" s="17">
        <f>B26*V44</f>
        <v>0</v>
      </c>
      <c r="W45" s="17">
        <f>B26*W44</f>
        <v>0.1</v>
      </c>
      <c r="X45" s="17">
        <f>B36*X44</f>
        <v>0</v>
      </c>
      <c r="Y45" s="17">
        <f>B26*Y44</f>
        <v>0.04</v>
      </c>
      <c r="Z45" s="17"/>
    </row>
    <row r="46" spans="1:26" x14ac:dyDescent="0.25">
      <c r="A46" s="13" t="s">
        <v>57</v>
      </c>
      <c r="B46" s="13">
        <v>50</v>
      </c>
      <c r="C46" s="13">
        <v>20</v>
      </c>
      <c r="D46" s="13">
        <v>240</v>
      </c>
      <c r="E46" s="13">
        <v>60</v>
      </c>
      <c r="F46" s="13">
        <v>40</v>
      </c>
      <c r="G46" s="13">
        <v>60</v>
      </c>
      <c r="H46" s="13">
        <v>30</v>
      </c>
      <c r="I46" s="13">
        <v>60</v>
      </c>
      <c r="J46" s="13">
        <v>55</v>
      </c>
      <c r="K46" s="13">
        <v>60</v>
      </c>
      <c r="L46" s="13">
        <v>270</v>
      </c>
      <c r="M46" s="13">
        <v>80</v>
      </c>
      <c r="N46" s="13">
        <v>500</v>
      </c>
      <c r="O46" s="13">
        <v>500</v>
      </c>
      <c r="P46" s="13">
        <v>80</v>
      </c>
      <c r="Q46" s="13">
        <v>27</v>
      </c>
      <c r="R46" s="13">
        <v>100</v>
      </c>
      <c r="S46" s="13">
        <v>300</v>
      </c>
      <c r="T46" s="13">
        <v>600</v>
      </c>
      <c r="U46" s="13">
        <v>60</v>
      </c>
      <c r="V46" s="13">
        <v>180</v>
      </c>
      <c r="W46" s="13">
        <v>120</v>
      </c>
      <c r="X46" s="13">
        <v>1100</v>
      </c>
      <c r="Y46" s="13">
        <v>60</v>
      </c>
      <c r="Z46" s="13"/>
    </row>
    <row r="47" spans="1:26" ht="15.75" thickBot="1" x14ac:dyDescent="0.3">
      <c r="A47" s="13" t="s">
        <v>58</v>
      </c>
      <c r="B47" s="18">
        <f>B45*B46</f>
        <v>2.5</v>
      </c>
      <c r="C47" s="18">
        <f t="shared" ref="C47:Y47" si="3">C45*C46</f>
        <v>0.06</v>
      </c>
      <c r="D47" s="18">
        <f t="shared" si="3"/>
        <v>32.400000000000006</v>
      </c>
      <c r="E47" s="18">
        <f t="shared" si="3"/>
        <v>2.4</v>
      </c>
      <c r="F47" s="18">
        <f t="shared" si="3"/>
        <v>0.6</v>
      </c>
      <c r="G47" s="18">
        <f t="shared" si="3"/>
        <v>1.2</v>
      </c>
      <c r="H47" s="18">
        <f t="shared" si="3"/>
        <v>0</v>
      </c>
      <c r="I47" s="18">
        <f t="shared" si="3"/>
        <v>3</v>
      </c>
      <c r="J47" s="18">
        <f t="shared" si="3"/>
        <v>0</v>
      </c>
      <c r="K47" s="18">
        <f t="shared" si="3"/>
        <v>0</v>
      </c>
      <c r="L47" s="18">
        <f t="shared" si="3"/>
        <v>2.16</v>
      </c>
      <c r="M47" s="18">
        <f t="shared" si="3"/>
        <v>0</v>
      </c>
      <c r="N47" s="18">
        <f t="shared" si="3"/>
        <v>0</v>
      </c>
      <c r="O47" s="18">
        <f t="shared" si="3"/>
        <v>0</v>
      </c>
      <c r="P47" s="18">
        <f t="shared" si="3"/>
        <v>0</v>
      </c>
      <c r="Q47" s="18">
        <f t="shared" si="3"/>
        <v>0</v>
      </c>
      <c r="R47" s="18">
        <f t="shared" si="3"/>
        <v>0.5</v>
      </c>
      <c r="S47" s="18">
        <f t="shared" si="3"/>
        <v>3</v>
      </c>
      <c r="T47" s="18">
        <f t="shared" si="3"/>
        <v>0</v>
      </c>
      <c r="U47" s="18">
        <f t="shared" si="3"/>
        <v>0.6</v>
      </c>
      <c r="V47" s="18">
        <f t="shared" si="3"/>
        <v>0</v>
      </c>
      <c r="W47" s="18">
        <f t="shared" si="3"/>
        <v>12</v>
      </c>
      <c r="X47" s="18">
        <f t="shared" si="3"/>
        <v>0</v>
      </c>
      <c r="Y47" s="18">
        <f t="shared" si="3"/>
        <v>2.4</v>
      </c>
      <c r="Z47" s="18"/>
    </row>
    <row r="48" spans="1:26" ht="15.75" thickBot="1" x14ac:dyDescent="0.3">
      <c r="A48" s="8" t="s">
        <v>59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19">
        <f>SUM(B47:X47)/B26</f>
        <v>60.420000000000009</v>
      </c>
      <c r="X48" s="20"/>
      <c r="Y48" s="20"/>
      <c r="Z48" s="19"/>
    </row>
    <row r="57" spans="1:26" ht="15.75" thickBot="1" x14ac:dyDescent="0.3"/>
    <row r="58" spans="1:26" ht="15.75" thickBot="1" x14ac:dyDescent="0.3">
      <c r="A58" s="6" t="s">
        <v>22</v>
      </c>
      <c r="B58" s="7">
        <v>1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9"/>
      <c r="Z58" s="9"/>
    </row>
    <row r="59" spans="1:26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9"/>
      <c r="Z59" s="9"/>
    </row>
    <row r="60" spans="1:26" ht="55.5" x14ac:dyDescent="0.25">
      <c r="A60" s="10" t="s">
        <v>23</v>
      </c>
      <c r="B60" s="11" t="s">
        <v>24</v>
      </c>
      <c r="C60" s="11" t="s">
        <v>25</v>
      </c>
      <c r="D60" s="11" t="s">
        <v>26</v>
      </c>
      <c r="E60" s="11" t="s">
        <v>27</v>
      </c>
      <c r="F60" s="11" t="s">
        <v>28</v>
      </c>
      <c r="G60" s="11" t="s">
        <v>29</v>
      </c>
      <c r="H60" s="11" t="s">
        <v>30</v>
      </c>
      <c r="I60" s="11" t="s">
        <v>31</v>
      </c>
      <c r="J60" s="11" t="s">
        <v>32</v>
      </c>
      <c r="K60" s="11" t="s">
        <v>33</v>
      </c>
      <c r="L60" s="11" t="s">
        <v>34</v>
      </c>
      <c r="M60" s="11" t="s">
        <v>35</v>
      </c>
      <c r="N60" s="11" t="s">
        <v>36</v>
      </c>
      <c r="O60" s="11" t="s">
        <v>37</v>
      </c>
      <c r="P60" s="11" t="s">
        <v>38</v>
      </c>
      <c r="Q60" s="11" t="s">
        <v>39</v>
      </c>
      <c r="R60" s="11" t="s">
        <v>40</v>
      </c>
      <c r="S60" s="11" t="s">
        <v>41</v>
      </c>
      <c r="T60" s="11" t="s">
        <v>42</v>
      </c>
      <c r="U60" s="11" t="s">
        <v>43</v>
      </c>
      <c r="V60" s="11" t="s">
        <v>44</v>
      </c>
      <c r="W60" s="11" t="s">
        <v>45</v>
      </c>
      <c r="X60" s="12" t="s">
        <v>46</v>
      </c>
      <c r="Y60" s="12" t="s">
        <v>47</v>
      </c>
      <c r="Z60" s="12"/>
    </row>
    <row r="61" spans="1:26" x14ac:dyDescent="0.25">
      <c r="A61" s="13" t="s">
        <v>85</v>
      </c>
      <c r="B61" s="14"/>
      <c r="C61" s="14">
        <v>1E-3</v>
      </c>
      <c r="D61" s="14"/>
      <c r="E61" s="14"/>
      <c r="F61" s="14"/>
      <c r="G61" s="14"/>
      <c r="H61" s="14"/>
      <c r="I61" s="14">
        <v>0.05</v>
      </c>
      <c r="J61" s="14"/>
      <c r="K61" s="15"/>
      <c r="L61" s="15">
        <v>8.0000000000000002E-3</v>
      </c>
      <c r="M61" s="15"/>
      <c r="N61" s="15"/>
      <c r="O61" s="15"/>
      <c r="P61" s="15"/>
      <c r="Q61" s="15"/>
      <c r="R61" s="15">
        <v>5.0000000000000001E-3</v>
      </c>
      <c r="S61" s="15"/>
      <c r="T61" s="14"/>
      <c r="U61" s="14"/>
      <c r="V61" s="14"/>
      <c r="W61" s="14"/>
      <c r="X61" s="14"/>
      <c r="Y61" s="14"/>
      <c r="Z61" s="14"/>
    </row>
    <row r="62" spans="1:26" x14ac:dyDescent="0.25">
      <c r="A62" s="13" t="s">
        <v>84</v>
      </c>
      <c r="B62" s="14"/>
      <c r="C62" s="14">
        <v>1E-3</v>
      </c>
      <c r="D62" s="14"/>
      <c r="E62" s="14">
        <v>0.04</v>
      </c>
      <c r="F62" s="14">
        <v>1.4999999999999999E-2</v>
      </c>
      <c r="G62" s="14">
        <v>0.2</v>
      </c>
      <c r="H62" s="14"/>
      <c r="I62" s="14"/>
      <c r="J62" s="14"/>
      <c r="K62" s="15"/>
      <c r="L62" s="15"/>
      <c r="M62" s="15"/>
      <c r="N62" s="15"/>
      <c r="O62" s="15"/>
      <c r="P62" s="15"/>
      <c r="Q62" s="15"/>
      <c r="R62" s="15"/>
      <c r="S62" s="15">
        <v>0.01</v>
      </c>
      <c r="T62" s="14"/>
      <c r="U62" s="14"/>
      <c r="V62" s="14"/>
      <c r="W62" s="14"/>
      <c r="X62" s="14"/>
      <c r="Y62" s="14">
        <v>0.03</v>
      </c>
      <c r="Z62" s="14"/>
    </row>
    <row r="63" spans="1:26" x14ac:dyDescent="0.25">
      <c r="A63" s="13" t="s">
        <v>50</v>
      </c>
      <c r="B63" s="14">
        <v>0.05</v>
      </c>
      <c r="C63" s="14"/>
      <c r="D63" s="14"/>
      <c r="E63" s="14"/>
      <c r="F63" s="14"/>
      <c r="G63" s="14"/>
      <c r="H63" s="14"/>
      <c r="I63" s="14"/>
      <c r="J63" s="14"/>
      <c r="K63" s="15"/>
      <c r="L63" s="15"/>
      <c r="M63" s="15"/>
      <c r="N63" s="15"/>
      <c r="O63" s="15"/>
      <c r="P63" s="15"/>
      <c r="Q63" s="15"/>
      <c r="R63" s="15"/>
      <c r="S63" s="15"/>
      <c r="T63" s="14"/>
      <c r="U63" s="14"/>
      <c r="V63" s="14"/>
      <c r="W63" s="14"/>
      <c r="X63" s="14"/>
      <c r="Y63" s="14"/>
      <c r="Z63" s="14"/>
    </row>
    <row r="64" spans="1:26" x14ac:dyDescent="0.25">
      <c r="A64" s="13" t="s">
        <v>46</v>
      </c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15"/>
      <c r="M64" s="15"/>
      <c r="N64" s="15"/>
      <c r="O64" s="15"/>
      <c r="P64" s="15"/>
      <c r="Q64" s="15"/>
      <c r="R64" s="15"/>
      <c r="S64" s="15"/>
      <c r="T64" s="14"/>
      <c r="U64" s="14">
        <v>0.01</v>
      </c>
      <c r="V64" s="14"/>
      <c r="W64" s="14"/>
      <c r="X64" s="14">
        <v>1E-3</v>
      </c>
      <c r="Y64" s="14"/>
      <c r="Z64" s="14"/>
    </row>
    <row r="65" spans="1:26" x14ac:dyDescent="0.25">
      <c r="A65" s="13" t="s">
        <v>52</v>
      </c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15"/>
      <c r="M65" s="15"/>
      <c r="N65" s="15"/>
      <c r="O65" s="15"/>
      <c r="P65" s="15"/>
      <c r="Q65" s="15"/>
      <c r="R65" s="15"/>
      <c r="S65" s="15"/>
      <c r="T65" s="14"/>
      <c r="U65" s="14"/>
      <c r="V65" s="14"/>
      <c r="W65" s="14">
        <v>0.1</v>
      </c>
      <c r="X65" s="14"/>
      <c r="Y65" s="14"/>
      <c r="Z65" s="14"/>
    </row>
    <row r="66" spans="1:26" x14ac:dyDescent="0.25">
      <c r="A66" s="13" t="s">
        <v>53</v>
      </c>
      <c r="B66" s="14"/>
      <c r="C66" s="14">
        <v>1E-3</v>
      </c>
      <c r="D66" s="14">
        <v>0.13500000000000001</v>
      </c>
      <c r="E66" s="14"/>
      <c r="F66" s="14"/>
      <c r="G66" s="14"/>
      <c r="H66" s="14"/>
      <c r="I66" s="14"/>
      <c r="J66" s="14"/>
      <c r="K66" s="15"/>
      <c r="L66" s="15"/>
      <c r="M66" s="15"/>
      <c r="N66" s="15"/>
      <c r="O66" s="15"/>
      <c r="P66" s="15"/>
      <c r="Q66" s="15"/>
      <c r="R66" s="15"/>
      <c r="S66" s="15"/>
      <c r="T66" s="14"/>
      <c r="U66" s="14"/>
      <c r="V66" s="14"/>
      <c r="W66" s="14"/>
      <c r="X66" s="14"/>
      <c r="Y66" s="14"/>
      <c r="Z66" s="14"/>
    </row>
    <row r="67" spans="1:26" x14ac:dyDescent="0.25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15"/>
      <c r="M67" s="15"/>
      <c r="N67" s="15"/>
      <c r="O67" s="15"/>
      <c r="P67" s="15"/>
      <c r="Q67" s="15"/>
      <c r="R67" s="15"/>
      <c r="S67" s="15"/>
      <c r="T67" s="14"/>
      <c r="U67" s="14" t="s">
        <v>54</v>
      </c>
      <c r="V67" s="14"/>
      <c r="W67" s="14"/>
      <c r="X67" s="14"/>
      <c r="Y67" s="14"/>
      <c r="Z67" s="14"/>
    </row>
    <row r="68" spans="1:26" x14ac:dyDescent="0.25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15"/>
      <c r="M68" s="15"/>
      <c r="N68" s="15"/>
      <c r="O68" s="15"/>
      <c r="P68" s="15"/>
      <c r="Q68" s="15"/>
      <c r="R68" s="15"/>
      <c r="S68" s="15"/>
      <c r="T68" s="14"/>
      <c r="U68" s="14"/>
      <c r="V68" s="14"/>
      <c r="W68" s="14"/>
      <c r="X68" s="14"/>
      <c r="Y68" s="14"/>
      <c r="Z68" s="14"/>
    </row>
    <row r="69" spans="1:26" x14ac:dyDescent="0.25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15"/>
      <c r="M69" s="15"/>
      <c r="N69" s="15"/>
      <c r="O69" s="15"/>
      <c r="P69" s="15"/>
      <c r="Q69" s="15"/>
      <c r="R69" s="15"/>
      <c r="S69" s="15"/>
      <c r="T69" s="14"/>
      <c r="U69" s="14"/>
      <c r="V69" s="14"/>
      <c r="W69" s="14"/>
      <c r="X69" s="14"/>
      <c r="Y69" s="14"/>
      <c r="Z69" s="14"/>
    </row>
    <row r="70" spans="1:26" x14ac:dyDescent="0.25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15"/>
      <c r="M70" s="15"/>
      <c r="N70" s="15"/>
      <c r="O70" s="15"/>
      <c r="P70" s="15"/>
      <c r="Q70" s="15"/>
      <c r="R70" s="15"/>
      <c r="S70" s="15"/>
      <c r="T70" s="14"/>
      <c r="U70" s="14"/>
      <c r="V70" s="14"/>
      <c r="W70" s="14"/>
      <c r="X70" s="14"/>
      <c r="Y70" s="14"/>
      <c r="Z70" s="14"/>
    </row>
    <row r="71" spans="1:26" x14ac:dyDescent="0.25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15"/>
      <c r="M71" s="15"/>
      <c r="N71" s="15"/>
      <c r="O71" s="15"/>
      <c r="P71" s="15"/>
      <c r="Q71" s="15"/>
      <c r="R71" s="15"/>
      <c r="S71" s="15"/>
      <c r="T71" s="14"/>
      <c r="U71" s="14"/>
      <c r="V71" s="14"/>
      <c r="W71" s="14"/>
      <c r="X71" s="14"/>
      <c r="Y71" s="14"/>
      <c r="Z71" s="14"/>
    </row>
    <row r="72" spans="1:26" x14ac:dyDescent="0.25">
      <c r="A72" s="13"/>
      <c r="C72" s="14"/>
      <c r="D72" s="14"/>
      <c r="E72" s="14"/>
      <c r="F72" s="14"/>
      <c r="G72" s="14"/>
      <c r="H72" s="14"/>
      <c r="I72" s="14"/>
      <c r="J72" s="14"/>
      <c r="K72" s="15"/>
      <c r="L72" s="15"/>
      <c r="M72" s="15"/>
      <c r="N72" s="15"/>
      <c r="O72" s="15"/>
      <c r="P72" s="15"/>
      <c r="Q72" s="15"/>
      <c r="R72" s="15"/>
      <c r="S72" s="15"/>
      <c r="T72" s="14"/>
      <c r="U72" s="14"/>
      <c r="V72" s="14"/>
      <c r="W72" s="14"/>
      <c r="X72" s="14"/>
      <c r="Y72" s="14"/>
      <c r="Z72" s="14"/>
    </row>
    <row r="73" spans="1:26" x14ac:dyDescent="0.25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5"/>
      <c r="L73" s="15"/>
      <c r="M73" s="15"/>
      <c r="N73" s="15"/>
      <c r="O73" s="15"/>
      <c r="P73" s="15"/>
      <c r="Q73" s="15"/>
      <c r="R73" s="15"/>
      <c r="S73" s="15"/>
      <c r="T73" s="14"/>
      <c r="U73" s="14"/>
      <c r="V73" s="14"/>
      <c r="W73" s="14"/>
      <c r="X73" s="14"/>
      <c r="Y73" s="14"/>
      <c r="Z73" s="14"/>
    </row>
    <row r="74" spans="1:26" x14ac:dyDescent="0.25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  <c r="N74" s="15"/>
      <c r="O74" s="15"/>
      <c r="P74" s="15"/>
      <c r="Q74" s="15"/>
      <c r="R74" s="15"/>
      <c r="S74" s="15"/>
      <c r="T74" s="14"/>
      <c r="U74" s="14"/>
      <c r="V74" s="14"/>
      <c r="W74" s="14"/>
      <c r="X74" s="14"/>
      <c r="Y74" s="14"/>
      <c r="Z74" s="14"/>
    </row>
    <row r="75" spans="1:26" x14ac:dyDescent="0.25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5"/>
      <c r="L75" s="15"/>
      <c r="M75" s="15"/>
      <c r="N75" s="15"/>
      <c r="O75" s="15"/>
      <c r="P75" s="15"/>
      <c r="Q75" s="15"/>
      <c r="R75" s="15"/>
      <c r="S75" s="15"/>
      <c r="T75" s="14"/>
      <c r="U75" s="14"/>
      <c r="V75" s="14"/>
      <c r="W75" s="14"/>
      <c r="X75" s="14"/>
      <c r="Y75" s="14"/>
      <c r="Z75" s="14"/>
    </row>
    <row r="76" spans="1:26" x14ac:dyDescent="0.25">
      <c r="A76" s="13" t="s">
        <v>55</v>
      </c>
      <c r="B76" s="16">
        <f>SUM(B61:B75)</f>
        <v>0.05</v>
      </c>
      <c r="C76" s="16">
        <f t="shared" ref="C76:X76" si="4">SUM(C61:C75)</f>
        <v>3.0000000000000001E-3</v>
      </c>
      <c r="D76" s="16">
        <f t="shared" si="4"/>
        <v>0.13500000000000001</v>
      </c>
      <c r="E76" s="16">
        <f t="shared" si="4"/>
        <v>0.04</v>
      </c>
      <c r="F76" s="16">
        <f t="shared" si="4"/>
        <v>1.4999999999999999E-2</v>
      </c>
      <c r="G76" s="16">
        <f t="shared" si="4"/>
        <v>0.2</v>
      </c>
      <c r="H76" s="16">
        <f t="shared" si="4"/>
        <v>0</v>
      </c>
      <c r="I76" s="16">
        <f t="shared" si="4"/>
        <v>0.05</v>
      </c>
      <c r="J76" s="16">
        <f t="shared" si="4"/>
        <v>0</v>
      </c>
      <c r="K76" s="16">
        <f t="shared" si="4"/>
        <v>0</v>
      </c>
      <c r="L76" s="16">
        <f t="shared" si="4"/>
        <v>8.0000000000000002E-3</v>
      </c>
      <c r="M76" s="16">
        <f t="shared" si="4"/>
        <v>0</v>
      </c>
      <c r="N76" s="16">
        <f t="shared" si="4"/>
        <v>0</v>
      </c>
      <c r="O76" s="16">
        <f t="shared" si="4"/>
        <v>0</v>
      </c>
      <c r="P76" s="16">
        <f t="shared" si="4"/>
        <v>0</v>
      </c>
      <c r="Q76" s="16">
        <f t="shared" si="4"/>
        <v>0</v>
      </c>
      <c r="R76" s="16">
        <f t="shared" si="4"/>
        <v>5.0000000000000001E-3</v>
      </c>
      <c r="S76" s="16">
        <f t="shared" si="4"/>
        <v>0.01</v>
      </c>
      <c r="T76" s="16">
        <f t="shared" si="4"/>
        <v>0</v>
      </c>
      <c r="U76" s="16">
        <f t="shared" si="4"/>
        <v>0.01</v>
      </c>
      <c r="V76" s="16">
        <f t="shared" si="4"/>
        <v>0</v>
      </c>
      <c r="W76" s="16">
        <f t="shared" si="4"/>
        <v>0.1</v>
      </c>
      <c r="X76" s="16">
        <f t="shared" si="4"/>
        <v>1E-3</v>
      </c>
      <c r="Y76" s="16">
        <v>0.04</v>
      </c>
      <c r="Z76" s="16"/>
    </row>
    <row r="77" spans="1:26" x14ac:dyDescent="0.25">
      <c r="A77" s="13" t="s">
        <v>56</v>
      </c>
      <c r="B77" s="17">
        <f>B58*B76</f>
        <v>0.05</v>
      </c>
      <c r="C77" s="17">
        <f>C76*B58</f>
        <v>3.0000000000000001E-3</v>
      </c>
      <c r="D77" s="17">
        <f>D76*B58</f>
        <v>0.13500000000000001</v>
      </c>
      <c r="E77" s="17">
        <f>B58*E76</f>
        <v>0.04</v>
      </c>
      <c r="F77" s="17">
        <f>F76*B58</f>
        <v>1.4999999999999999E-2</v>
      </c>
      <c r="G77" s="17">
        <f>B58*G76</f>
        <v>0.2</v>
      </c>
      <c r="H77" s="17">
        <f>B58*H76</f>
        <v>0</v>
      </c>
      <c r="I77" s="17">
        <f>B58*I76</f>
        <v>0.05</v>
      </c>
      <c r="J77" s="17">
        <f>B58*J76</f>
        <v>0</v>
      </c>
      <c r="K77" s="17">
        <f>B58*K76</f>
        <v>0</v>
      </c>
      <c r="L77" s="17">
        <f>B58*L76</f>
        <v>8.0000000000000002E-3</v>
      </c>
      <c r="M77" s="17">
        <f>B58*M76</f>
        <v>0</v>
      </c>
      <c r="N77" s="17">
        <f>B58*N76</f>
        <v>0</v>
      </c>
      <c r="O77" s="17">
        <f>B58*O76</f>
        <v>0</v>
      </c>
      <c r="P77" s="17">
        <f>B58*P76</f>
        <v>0</v>
      </c>
      <c r="Q77" s="17">
        <f>B58*Q76</f>
        <v>0</v>
      </c>
      <c r="R77" s="17">
        <f>B58*R76</f>
        <v>5.0000000000000001E-3</v>
      </c>
      <c r="S77" s="17">
        <f>B58*S76</f>
        <v>0.01</v>
      </c>
      <c r="T77" s="17">
        <f>B58*T76</f>
        <v>0</v>
      </c>
      <c r="U77" s="17">
        <f>B58*U76</f>
        <v>0.01</v>
      </c>
      <c r="V77" s="17">
        <f>B58*V76</f>
        <v>0</v>
      </c>
      <c r="W77" s="17">
        <f>B58*W76</f>
        <v>0.1</v>
      </c>
      <c r="X77" s="17">
        <f>B68*X76</f>
        <v>0</v>
      </c>
      <c r="Y77" s="17">
        <f>B58*Y76</f>
        <v>0.04</v>
      </c>
      <c r="Z77" s="17"/>
    </row>
    <row r="78" spans="1:26" x14ac:dyDescent="0.25">
      <c r="A78" s="13" t="s">
        <v>57</v>
      </c>
      <c r="B78" s="13">
        <v>50</v>
      </c>
      <c r="C78" s="13">
        <v>20</v>
      </c>
      <c r="D78" s="13">
        <v>240</v>
      </c>
      <c r="E78" s="13">
        <v>60</v>
      </c>
      <c r="F78" s="13">
        <v>40</v>
      </c>
      <c r="G78" s="13">
        <v>60</v>
      </c>
      <c r="H78" s="13">
        <v>30</v>
      </c>
      <c r="I78" s="13">
        <v>60</v>
      </c>
      <c r="J78" s="13">
        <v>55</v>
      </c>
      <c r="K78" s="13">
        <v>60</v>
      </c>
      <c r="L78" s="13">
        <v>270</v>
      </c>
      <c r="M78" s="13">
        <v>80</v>
      </c>
      <c r="N78" s="13">
        <v>500</v>
      </c>
      <c r="O78" s="13">
        <v>500</v>
      </c>
      <c r="P78" s="13">
        <v>80</v>
      </c>
      <c r="Q78" s="13">
        <v>27</v>
      </c>
      <c r="R78" s="13">
        <v>100</v>
      </c>
      <c r="S78" s="13">
        <v>300</v>
      </c>
      <c r="T78" s="13">
        <v>600</v>
      </c>
      <c r="U78" s="13">
        <v>60</v>
      </c>
      <c r="V78" s="13">
        <v>180</v>
      </c>
      <c r="W78" s="13">
        <v>120</v>
      </c>
      <c r="X78" s="13">
        <v>1100</v>
      </c>
      <c r="Y78" s="13">
        <v>60</v>
      </c>
      <c r="Z78" s="13"/>
    </row>
    <row r="79" spans="1:26" ht="15.75" thickBot="1" x14ac:dyDescent="0.3">
      <c r="A79" s="13" t="s">
        <v>58</v>
      </c>
      <c r="B79" s="18">
        <f>B77*B78</f>
        <v>2.5</v>
      </c>
      <c r="C79" s="18">
        <f t="shared" ref="C79:Y79" si="5">C77*C78</f>
        <v>0.06</v>
      </c>
      <c r="D79" s="18">
        <f t="shared" si="5"/>
        <v>32.400000000000006</v>
      </c>
      <c r="E79" s="18">
        <f t="shared" si="5"/>
        <v>2.4</v>
      </c>
      <c r="F79" s="18">
        <f t="shared" si="5"/>
        <v>0.6</v>
      </c>
      <c r="G79" s="18">
        <f t="shared" si="5"/>
        <v>12</v>
      </c>
      <c r="H79" s="18">
        <f t="shared" si="5"/>
        <v>0</v>
      </c>
      <c r="I79" s="18">
        <f t="shared" si="5"/>
        <v>3</v>
      </c>
      <c r="J79" s="18">
        <f t="shared" si="5"/>
        <v>0</v>
      </c>
      <c r="K79" s="18">
        <f t="shared" si="5"/>
        <v>0</v>
      </c>
      <c r="L79" s="18">
        <f t="shared" si="5"/>
        <v>2.16</v>
      </c>
      <c r="M79" s="18">
        <f t="shared" si="5"/>
        <v>0</v>
      </c>
      <c r="N79" s="18">
        <f t="shared" si="5"/>
        <v>0</v>
      </c>
      <c r="O79" s="18">
        <f t="shared" si="5"/>
        <v>0</v>
      </c>
      <c r="P79" s="18">
        <f t="shared" si="5"/>
        <v>0</v>
      </c>
      <c r="Q79" s="18">
        <f t="shared" si="5"/>
        <v>0</v>
      </c>
      <c r="R79" s="18">
        <f t="shared" si="5"/>
        <v>0.5</v>
      </c>
      <c r="S79" s="18">
        <f t="shared" si="5"/>
        <v>3</v>
      </c>
      <c r="T79" s="18">
        <f t="shared" si="5"/>
        <v>0</v>
      </c>
      <c r="U79" s="18">
        <f t="shared" si="5"/>
        <v>0.6</v>
      </c>
      <c r="V79" s="18">
        <f t="shared" si="5"/>
        <v>0</v>
      </c>
      <c r="W79" s="18">
        <f t="shared" si="5"/>
        <v>12</v>
      </c>
      <c r="X79" s="18">
        <f t="shared" si="5"/>
        <v>0</v>
      </c>
      <c r="Y79" s="18">
        <f t="shared" si="5"/>
        <v>2.4</v>
      </c>
      <c r="Z79" s="18"/>
    </row>
    <row r="80" spans="1:26" ht="15.75" thickBot="1" x14ac:dyDescent="0.3">
      <c r="A80" s="8" t="s">
        <v>59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9" t="s">
        <v>82</v>
      </c>
      <c r="X80" s="20"/>
      <c r="Y80" s="20"/>
      <c r="Z80" s="19"/>
    </row>
    <row r="89" spans="1:26" ht="15.75" thickBot="1" x14ac:dyDescent="0.3"/>
    <row r="90" spans="1:26" ht="15.75" thickBot="1" x14ac:dyDescent="0.3">
      <c r="A90" s="6" t="s">
        <v>22</v>
      </c>
      <c r="B90" s="7">
        <v>1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9"/>
      <c r="Z90" s="9"/>
    </row>
    <row r="91" spans="1:26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9"/>
      <c r="Z91" s="9"/>
    </row>
    <row r="92" spans="1:26" ht="55.5" x14ac:dyDescent="0.25">
      <c r="A92" s="10" t="s">
        <v>23</v>
      </c>
      <c r="B92" s="11" t="s">
        <v>24</v>
      </c>
      <c r="C92" s="11" t="s">
        <v>25</v>
      </c>
      <c r="D92" s="11" t="s">
        <v>26</v>
      </c>
      <c r="E92" s="11" t="s">
        <v>27</v>
      </c>
      <c r="F92" s="11" t="s">
        <v>28</v>
      </c>
      <c r="G92" s="11" t="s">
        <v>29</v>
      </c>
      <c r="H92" s="11" t="s">
        <v>30</v>
      </c>
      <c r="I92" s="11" t="s">
        <v>31</v>
      </c>
      <c r="J92" s="11" t="s">
        <v>32</v>
      </c>
      <c r="K92" s="11" t="s">
        <v>33</v>
      </c>
      <c r="L92" s="11" t="s">
        <v>34</v>
      </c>
      <c r="M92" s="11" t="s">
        <v>35</v>
      </c>
      <c r="N92" s="11" t="s">
        <v>36</v>
      </c>
      <c r="O92" s="11" t="s">
        <v>37</v>
      </c>
      <c r="P92" s="11" t="s">
        <v>38</v>
      </c>
      <c r="Q92" s="11" t="s">
        <v>39</v>
      </c>
      <c r="R92" s="11" t="s">
        <v>40</v>
      </c>
      <c r="S92" s="11" t="s">
        <v>41</v>
      </c>
      <c r="T92" s="11" t="s">
        <v>42</v>
      </c>
      <c r="U92" s="11" t="s">
        <v>43</v>
      </c>
      <c r="V92" s="11" t="s">
        <v>44</v>
      </c>
      <c r="W92" s="11" t="s">
        <v>45</v>
      </c>
      <c r="X92" s="12" t="s">
        <v>46</v>
      </c>
      <c r="Y92" s="12" t="s">
        <v>47</v>
      </c>
      <c r="Z92" s="12"/>
    </row>
    <row r="93" spans="1:26" x14ac:dyDescent="0.25">
      <c r="A93" s="13" t="s">
        <v>48</v>
      </c>
      <c r="B93" s="14"/>
      <c r="C93" s="14">
        <v>1E-3</v>
      </c>
      <c r="D93" s="14"/>
      <c r="E93" s="14"/>
      <c r="F93" s="14"/>
      <c r="G93" s="14"/>
      <c r="H93" s="14"/>
      <c r="I93" s="14">
        <v>0.05</v>
      </c>
      <c r="J93" s="14"/>
      <c r="K93" s="15"/>
      <c r="L93" s="15">
        <v>8.0000000000000002E-3</v>
      </c>
      <c r="M93" s="15"/>
      <c r="N93" s="15"/>
      <c r="O93" s="15"/>
      <c r="P93" s="15"/>
      <c r="Q93" s="15"/>
      <c r="R93" s="15">
        <v>5.0000000000000001E-3</v>
      </c>
      <c r="S93" s="15"/>
      <c r="T93" s="14"/>
      <c r="U93" s="14"/>
      <c r="V93" s="14"/>
      <c r="W93" s="14"/>
      <c r="X93" s="14"/>
      <c r="Y93" s="14"/>
      <c r="Z93" s="14"/>
    </row>
    <row r="94" spans="1:26" x14ac:dyDescent="0.25">
      <c r="A94" s="13" t="s">
        <v>86</v>
      </c>
      <c r="B94" s="14"/>
      <c r="C94" s="14">
        <v>1E-3</v>
      </c>
      <c r="D94" s="14"/>
      <c r="E94" s="14">
        <v>0.04</v>
      </c>
      <c r="F94" s="14">
        <v>1.4999999999999999E-2</v>
      </c>
      <c r="G94" s="14">
        <v>0.2</v>
      </c>
      <c r="H94" s="14"/>
      <c r="I94" s="14"/>
      <c r="J94" s="14"/>
      <c r="K94" s="15"/>
      <c r="L94" s="15"/>
      <c r="M94" s="15"/>
      <c r="N94" s="15"/>
      <c r="O94" s="15"/>
      <c r="P94" s="15"/>
      <c r="Q94" s="15"/>
      <c r="R94" s="15"/>
      <c r="S94" s="15">
        <v>0.01</v>
      </c>
      <c r="T94" s="14"/>
      <c r="U94" s="14"/>
      <c r="V94" s="14"/>
      <c r="W94" s="14"/>
      <c r="X94" s="14"/>
      <c r="Y94" s="14">
        <v>0.03</v>
      </c>
      <c r="Z94" s="14"/>
    </row>
    <row r="95" spans="1:26" x14ac:dyDescent="0.25">
      <c r="A95" s="13" t="s">
        <v>50</v>
      </c>
      <c r="B95" s="14">
        <v>0.05</v>
      </c>
      <c r="C95" s="14"/>
      <c r="D95" s="14"/>
      <c r="E95" s="14"/>
      <c r="F95" s="14"/>
      <c r="G95" s="14"/>
      <c r="H95" s="14"/>
      <c r="I95" s="14"/>
      <c r="J95" s="14"/>
      <c r="K95" s="15"/>
      <c r="L95" s="15"/>
      <c r="M95" s="15"/>
      <c r="N95" s="15"/>
      <c r="O95" s="15"/>
      <c r="P95" s="15"/>
      <c r="Q95" s="15"/>
      <c r="R95" s="15"/>
      <c r="S95" s="15"/>
      <c r="T95" s="14"/>
      <c r="U95" s="14"/>
      <c r="V95" s="14"/>
      <c r="W95" s="14"/>
      <c r="X95" s="14"/>
      <c r="Y95" s="14"/>
      <c r="Z95" s="14"/>
    </row>
    <row r="96" spans="1:26" x14ac:dyDescent="0.25">
      <c r="A96" s="13" t="s">
        <v>46</v>
      </c>
      <c r="B96" s="14"/>
      <c r="C96" s="14"/>
      <c r="D96" s="14"/>
      <c r="E96" s="14"/>
      <c r="F96" s="14"/>
      <c r="G96" s="14"/>
      <c r="H96" s="14"/>
      <c r="I96" s="14"/>
      <c r="J96" s="14"/>
      <c r="K96" s="15"/>
      <c r="L96" s="15"/>
      <c r="M96" s="15"/>
      <c r="N96" s="15"/>
      <c r="O96" s="15"/>
      <c r="P96" s="15"/>
      <c r="Q96" s="15"/>
      <c r="R96" s="15"/>
      <c r="S96" s="15"/>
      <c r="T96" s="14"/>
      <c r="U96" s="14">
        <v>0.01</v>
      </c>
      <c r="V96" s="14"/>
      <c r="W96" s="14"/>
      <c r="X96" s="14">
        <v>1E-3</v>
      </c>
      <c r="Y96" s="14"/>
      <c r="Z96" s="14"/>
    </row>
    <row r="97" spans="1:26" x14ac:dyDescent="0.25">
      <c r="A97" s="13" t="s">
        <v>52</v>
      </c>
      <c r="B97" s="14"/>
      <c r="C97" s="14"/>
      <c r="D97" s="14"/>
      <c r="E97" s="14"/>
      <c r="F97" s="14"/>
      <c r="G97" s="14"/>
      <c r="H97" s="14"/>
      <c r="I97" s="14"/>
      <c r="J97" s="14"/>
      <c r="K97" s="15"/>
      <c r="L97" s="15"/>
      <c r="M97" s="15"/>
      <c r="N97" s="15"/>
      <c r="O97" s="15"/>
      <c r="P97" s="15"/>
      <c r="Q97" s="15"/>
      <c r="R97" s="15"/>
      <c r="S97" s="15"/>
      <c r="T97" s="14"/>
      <c r="U97" s="14"/>
      <c r="V97" s="14"/>
      <c r="W97" s="14">
        <v>0.1</v>
      </c>
      <c r="X97" s="14"/>
      <c r="Y97" s="14"/>
      <c r="Z97" s="14"/>
    </row>
    <row r="98" spans="1:26" x14ac:dyDescent="0.25">
      <c r="A98" s="13" t="s">
        <v>53</v>
      </c>
      <c r="B98" s="14"/>
      <c r="C98" s="14">
        <v>1E-3</v>
      </c>
      <c r="D98" s="14">
        <v>0.13500000000000001</v>
      </c>
      <c r="E98" s="14"/>
      <c r="F98" s="14"/>
      <c r="G98" s="14"/>
      <c r="H98" s="14"/>
      <c r="I98" s="14"/>
      <c r="J98" s="14"/>
      <c r="K98" s="15"/>
      <c r="L98" s="15"/>
      <c r="M98" s="15"/>
      <c r="N98" s="15"/>
      <c r="O98" s="15"/>
      <c r="P98" s="15"/>
      <c r="Q98" s="15"/>
      <c r="R98" s="15"/>
      <c r="S98" s="15"/>
      <c r="T98" s="14"/>
      <c r="U98" s="14"/>
      <c r="V98" s="14"/>
      <c r="W98" s="14"/>
      <c r="X98" s="14"/>
      <c r="Y98" s="14"/>
      <c r="Z98" s="14"/>
    </row>
    <row r="99" spans="1:26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5"/>
      <c r="L99" s="15"/>
      <c r="M99" s="15"/>
      <c r="N99" s="15"/>
      <c r="O99" s="15"/>
      <c r="P99" s="15"/>
      <c r="Q99" s="15"/>
      <c r="R99" s="15"/>
      <c r="S99" s="15"/>
      <c r="T99" s="14"/>
      <c r="U99" s="14" t="s">
        <v>54</v>
      </c>
      <c r="V99" s="14"/>
      <c r="W99" s="14"/>
      <c r="X99" s="14"/>
      <c r="Y99" s="14"/>
      <c r="Z99" s="14"/>
    </row>
    <row r="100" spans="1:26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5"/>
      <c r="L100" s="15"/>
      <c r="M100" s="15"/>
      <c r="N100" s="15"/>
      <c r="O100" s="15"/>
      <c r="P100" s="15"/>
      <c r="Q100" s="15"/>
      <c r="R100" s="15"/>
      <c r="S100" s="15"/>
      <c r="T100" s="14"/>
      <c r="U100" s="14"/>
      <c r="V100" s="14"/>
      <c r="W100" s="14"/>
      <c r="X100" s="14"/>
      <c r="Y100" s="14"/>
      <c r="Z100" s="14"/>
    </row>
    <row r="101" spans="1:26" x14ac:dyDescent="0.25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5"/>
      <c r="L101" s="15"/>
      <c r="M101" s="15"/>
      <c r="N101" s="15"/>
      <c r="O101" s="15"/>
      <c r="P101" s="15"/>
      <c r="Q101" s="15"/>
      <c r="R101" s="15"/>
      <c r="S101" s="15"/>
      <c r="T101" s="14"/>
      <c r="U101" s="14"/>
      <c r="V101" s="14"/>
      <c r="W101" s="14"/>
      <c r="X101" s="14"/>
      <c r="Y101" s="14"/>
      <c r="Z101" s="14"/>
    </row>
    <row r="102" spans="1:26" x14ac:dyDescent="0.25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5"/>
      <c r="L102" s="15"/>
      <c r="M102" s="15"/>
      <c r="N102" s="15"/>
      <c r="O102" s="15"/>
      <c r="P102" s="15"/>
      <c r="Q102" s="15"/>
      <c r="R102" s="15"/>
      <c r="S102" s="15"/>
      <c r="T102" s="14"/>
      <c r="U102" s="14"/>
      <c r="V102" s="14"/>
      <c r="W102" s="14"/>
      <c r="X102" s="14"/>
      <c r="Y102" s="14"/>
      <c r="Z102" s="14"/>
    </row>
    <row r="103" spans="1:26" x14ac:dyDescent="0.25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5"/>
      <c r="L103" s="15"/>
      <c r="M103" s="15"/>
      <c r="N103" s="15"/>
      <c r="O103" s="15"/>
      <c r="P103" s="15"/>
      <c r="Q103" s="15"/>
      <c r="R103" s="15"/>
      <c r="S103" s="15"/>
      <c r="T103" s="14"/>
      <c r="U103" s="14"/>
      <c r="V103" s="14"/>
      <c r="W103" s="14"/>
      <c r="X103" s="14"/>
      <c r="Y103" s="14"/>
      <c r="Z103" s="14"/>
    </row>
    <row r="104" spans="1:26" x14ac:dyDescent="0.25">
      <c r="A104" s="13"/>
      <c r="C104" s="14"/>
      <c r="D104" s="14"/>
      <c r="E104" s="14"/>
      <c r="F104" s="14"/>
      <c r="G104" s="14"/>
      <c r="H104" s="14"/>
      <c r="I104" s="14"/>
      <c r="J104" s="14"/>
      <c r="K104" s="15"/>
      <c r="L104" s="15"/>
      <c r="M104" s="15"/>
      <c r="N104" s="15"/>
      <c r="O104" s="15"/>
      <c r="P104" s="15"/>
      <c r="Q104" s="15"/>
      <c r="R104" s="15"/>
      <c r="S104" s="15"/>
      <c r="T104" s="14"/>
      <c r="U104" s="14"/>
      <c r="V104" s="14"/>
      <c r="W104" s="14"/>
      <c r="X104" s="14"/>
      <c r="Y104" s="14"/>
      <c r="Z104" s="14"/>
    </row>
    <row r="105" spans="1:26" x14ac:dyDescent="0.2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5"/>
      <c r="L105" s="15"/>
      <c r="M105" s="15"/>
      <c r="N105" s="15"/>
      <c r="O105" s="15"/>
      <c r="P105" s="15"/>
      <c r="Q105" s="15"/>
      <c r="R105" s="15"/>
      <c r="S105" s="15"/>
      <c r="T105" s="14"/>
      <c r="U105" s="14"/>
      <c r="V105" s="14"/>
      <c r="W105" s="14"/>
      <c r="X105" s="14"/>
      <c r="Y105" s="14"/>
      <c r="Z105" s="14"/>
    </row>
    <row r="106" spans="1:26" x14ac:dyDescent="0.2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5"/>
      <c r="L106" s="15"/>
      <c r="M106" s="15"/>
      <c r="N106" s="15"/>
      <c r="O106" s="15"/>
      <c r="P106" s="15"/>
      <c r="Q106" s="15"/>
      <c r="R106" s="15"/>
      <c r="S106" s="15"/>
      <c r="T106" s="14"/>
      <c r="U106" s="14"/>
      <c r="V106" s="14"/>
      <c r="W106" s="14"/>
      <c r="X106" s="14"/>
      <c r="Y106" s="14"/>
      <c r="Z106" s="14"/>
    </row>
    <row r="107" spans="1:26" x14ac:dyDescent="0.25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5"/>
      <c r="L107" s="15"/>
      <c r="M107" s="15"/>
      <c r="N107" s="15"/>
      <c r="O107" s="15"/>
      <c r="P107" s="15"/>
      <c r="Q107" s="15"/>
      <c r="R107" s="15"/>
      <c r="S107" s="15"/>
      <c r="T107" s="14"/>
      <c r="U107" s="14"/>
      <c r="V107" s="14"/>
      <c r="W107" s="14"/>
      <c r="X107" s="14"/>
      <c r="Y107" s="14"/>
      <c r="Z107" s="14"/>
    </row>
    <row r="108" spans="1:26" x14ac:dyDescent="0.25">
      <c r="A108" s="13" t="s">
        <v>55</v>
      </c>
      <c r="B108" s="16">
        <f>SUM(B93:B107)</f>
        <v>0.05</v>
      </c>
      <c r="C108" s="16">
        <f t="shared" ref="C108:X108" si="6">SUM(C93:C107)</f>
        <v>3.0000000000000001E-3</v>
      </c>
      <c r="D108" s="16">
        <f t="shared" si="6"/>
        <v>0.13500000000000001</v>
      </c>
      <c r="E108" s="16">
        <f t="shared" si="6"/>
        <v>0.04</v>
      </c>
      <c r="F108" s="16">
        <f t="shared" si="6"/>
        <v>1.4999999999999999E-2</v>
      </c>
      <c r="G108" s="16">
        <f t="shared" si="6"/>
        <v>0.2</v>
      </c>
      <c r="H108" s="16">
        <f t="shared" si="6"/>
        <v>0</v>
      </c>
      <c r="I108" s="16">
        <f t="shared" si="6"/>
        <v>0.05</v>
      </c>
      <c r="J108" s="16">
        <f t="shared" si="6"/>
        <v>0</v>
      </c>
      <c r="K108" s="16">
        <f t="shared" si="6"/>
        <v>0</v>
      </c>
      <c r="L108" s="16">
        <f t="shared" si="6"/>
        <v>8.0000000000000002E-3</v>
      </c>
      <c r="M108" s="16">
        <f t="shared" si="6"/>
        <v>0</v>
      </c>
      <c r="N108" s="16">
        <f t="shared" si="6"/>
        <v>0</v>
      </c>
      <c r="O108" s="16">
        <f t="shared" si="6"/>
        <v>0</v>
      </c>
      <c r="P108" s="16">
        <f t="shared" si="6"/>
        <v>0</v>
      </c>
      <c r="Q108" s="16">
        <f t="shared" si="6"/>
        <v>0</v>
      </c>
      <c r="R108" s="16">
        <f t="shared" si="6"/>
        <v>5.0000000000000001E-3</v>
      </c>
      <c r="S108" s="16">
        <f t="shared" si="6"/>
        <v>0.01</v>
      </c>
      <c r="T108" s="16">
        <f t="shared" si="6"/>
        <v>0</v>
      </c>
      <c r="U108" s="16">
        <f t="shared" si="6"/>
        <v>0.01</v>
      </c>
      <c r="V108" s="16">
        <f t="shared" si="6"/>
        <v>0</v>
      </c>
      <c r="W108" s="16">
        <f t="shared" si="6"/>
        <v>0.1</v>
      </c>
      <c r="X108" s="16">
        <f t="shared" si="6"/>
        <v>1E-3</v>
      </c>
      <c r="Y108" s="16">
        <v>0.04</v>
      </c>
      <c r="Z108" s="16"/>
    </row>
    <row r="109" spans="1:26" x14ac:dyDescent="0.25">
      <c r="A109" s="13" t="s">
        <v>56</v>
      </c>
      <c r="B109" s="17">
        <f>B90*B108</f>
        <v>0.05</v>
      </c>
      <c r="C109" s="17">
        <f>C108*B90</f>
        <v>3.0000000000000001E-3</v>
      </c>
      <c r="D109" s="17">
        <f>D108*B90</f>
        <v>0.13500000000000001</v>
      </c>
      <c r="E109" s="17">
        <f>B90*E108</f>
        <v>0.04</v>
      </c>
      <c r="F109" s="17">
        <f>F108*B90</f>
        <v>1.4999999999999999E-2</v>
      </c>
      <c r="G109" s="17">
        <f>B90*G108</f>
        <v>0.2</v>
      </c>
      <c r="H109" s="17">
        <f>B90*H108</f>
        <v>0</v>
      </c>
      <c r="I109" s="17">
        <f>B90*I108</f>
        <v>0.05</v>
      </c>
      <c r="J109" s="17">
        <f>B90*J108</f>
        <v>0</v>
      </c>
      <c r="K109" s="17">
        <f>B90*K108</f>
        <v>0</v>
      </c>
      <c r="L109" s="17">
        <f>B90*L108</f>
        <v>8.0000000000000002E-3</v>
      </c>
      <c r="M109" s="17">
        <f>B90*M108</f>
        <v>0</v>
      </c>
      <c r="N109" s="17">
        <f>B90*N108</f>
        <v>0</v>
      </c>
      <c r="O109" s="17">
        <f>B90*O108</f>
        <v>0</v>
      </c>
      <c r="P109" s="17">
        <f>B90*P108</f>
        <v>0</v>
      </c>
      <c r="Q109" s="17">
        <f>B90*Q108</f>
        <v>0</v>
      </c>
      <c r="R109" s="17">
        <f>B90*R108</f>
        <v>5.0000000000000001E-3</v>
      </c>
      <c r="S109" s="17">
        <f>B90*S108</f>
        <v>0.01</v>
      </c>
      <c r="T109" s="17">
        <f>B90*T108</f>
        <v>0</v>
      </c>
      <c r="U109" s="17">
        <f>B90*U108</f>
        <v>0.01</v>
      </c>
      <c r="V109" s="17">
        <f>B90*V108</f>
        <v>0</v>
      </c>
      <c r="W109" s="17">
        <f>B90*W108</f>
        <v>0.1</v>
      </c>
      <c r="X109" s="17">
        <f>B100*X108</f>
        <v>0</v>
      </c>
      <c r="Y109" s="17">
        <f>B90*Y108</f>
        <v>0.04</v>
      </c>
      <c r="Z109" s="17"/>
    </row>
    <row r="110" spans="1:26" x14ac:dyDescent="0.25">
      <c r="A110" s="13" t="s">
        <v>57</v>
      </c>
      <c r="B110" s="13">
        <v>50</v>
      </c>
      <c r="C110" s="13">
        <v>20</v>
      </c>
      <c r="D110" s="13">
        <v>240</v>
      </c>
      <c r="E110" s="13">
        <v>60</v>
      </c>
      <c r="F110" s="13">
        <v>40</v>
      </c>
      <c r="G110" s="13">
        <v>60</v>
      </c>
      <c r="H110" s="13">
        <v>30</v>
      </c>
      <c r="I110" s="13">
        <v>60</v>
      </c>
      <c r="J110" s="13">
        <v>55</v>
      </c>
      <c r="K110" s="13">
        <v>60</v>
      </c>
      <c r="L110" s="13">
        <v>270</v>
      </c>
      <c r="M110" s="13">
        <v>80</v>
      </c>
      <c r="N110" s="13">
        <v>500</v>
      </c>
      <c r="O110" s="13">
        <v>500</v>
      </c>
      <c r="P110" s="13">
        <v>80</v>
      </c>
      <c r="Q110" s="13">
        <v>27</v>
      </c>
      <c r="R110" s="13">
        <v>100</v>
      </c>
      <c r="S110" s="13">
        <v>300</v>
      </c>
      <c r="T110" s="13">
        <v>600</v>
      </c>
      <c r="U110" s="13">
        <v>60</v>
      </c>
      <c r="V110" s="13">
        <v>180</v>
      </c>
      <c r="W110" s="13">
        <v>120</v>
      </c>
      <c r="X110" s="13">
        <v>1100</v>
      </c>
      <c r="Y110" s="13">
        <v>60</v>
      </c>
      <c r="Z110" s="13"/>
    </row>
    <row r="111" spans="1:26" ht="15.75" thickBot="1" x14ac:dyDescent="0.3">
      <c r="A111" s="13" t="s">
        <v>58</v>
      </c>
      <c r="B111" s="18">
        <f>B109*B110</f>
        <v>2.5</v>
      </c>
      <c r="C111" s="18">
        <f t="shared" ref="C111:Y111" si="7">C109*C110</f>
        <v>0.06</v>
      </c>
      <c r="D111" s="18">
        <f t="shared" si="7"/>
        <v>32.400000000000006</v>
      </c>
      <c r="E111" s="18">
        <f t="shared" si="7"/>
        <v>2.4</v>
      </c>
      <c r="F111" s="18">
        <f t="shared" si="7"/>
        <v>0.6</v>
      </c>
      <c r="G111" s="18">
        <f t="shared" si="7"/>
        <v>12</v>
      </c>
      <c r="H111" s="18">
        <f t="shared" si="7"/>
        <v>0</v>
      </c>
      <c r="I111" s="18">
        <f t="shared" si="7"/>
        <v>3</v>
      </c>
      <c r="J111" s="18">
        <f t="shared" si="7"/>
        <v>0</v>
      </c>
      <c r="K111" s="18">
        <f t="shared" si="7"/>
        <v>0</v>
      </c>
      <c r="L111" s="18">
        <f t="shared" si="7"/>
        <v>2.16</v>
      </c>
      <c r="M111" s="18">
        <f t="shared" si="7"/>
        <v>0</v>
      </c>
      <c r="N111" s="18">
        <f t="shared" si="7"/>
        <v>0</v>
      </c>
      <c r="O111" s="18">
        <f t="shared" si="7"/>
        <v>0</v>
      </c>
      <c r="P111" s="18">
        <f t="shared" si="7"/>
        <v>0</v>
      </c>
      <c r="Q111" s="18">
        <f t="shared" si="7"/>
        <v>0</v>
      </c>
      <c r="R111" s="18">
        <f t="shared" si="7"/>
        <v>0.5</v>
      </c>
      <c r="S111" s="18">
        <f t="shared" si="7"/>
        <v>3</v>
      </c>
      <c r="T111" s="18">
        <f t="shared" si="7"/>
        <v>0</v>
      </c>
      <c r="U111" s="18">
        <f t="shared" si="7"/>
        <v>0.6</v>
      </c>
      <c r="V111" s="18">
        <f t="shared" si="7"/>
        <v>0</v>
      </c>
      <c r="W111" s="18">
        <f t="shared" si="7"/>
        <v>12</v>
      </c>
      <c r="X111" s="18">
        <f t="shared" si="7"/>
        <v>0</v>
      </c>
      <c r="Y111" s="18">
        <f t="shared" si="7"/>
        <v>2.4</v>
      </c>
      <c r="Z111" s="18"/>
    </row>
    <row r="112" spans="1:26" ht="15.75" thickBot="1" x14ac:dyDescent="0.3">
      <c r="A112" s="8" t="s">
        <v>59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9" t="s">
        <v>82</v>
      </c>
      <c r="X112" s="20"/>
      <c r="Y112" s="20"/>
      <c r="Z112" s="19"/>
    </row>
    <row r="122" spans="1:26" ht="1.5" customHeight="1" thickBot="1" x14ac:dyDescent="0.3"/>
    <row r="123" spans="1:26" ht="15.75" thickBot="1" x14ac:dyDescent="0.3">
      <c r="A123" s="6" t="s">
        <v>22</v>
      </c>
      <c r="B123" s="7">
        <v>1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9"/>
      <c r="Z123" s="9"/>
    </row>
    <row r="124" spans="1:26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9"/>
      <c r="Z124" s="9"/>
    </row>
    <row r="125" spans="1:26" ht="55.5" x14ac:dyDescent="0.25">
      <c r="A125" s="10" t="s">
        <v>23</v>
      </c>
      <c r="B125" s="11" t="s">
        <v>24</v>
      </c>
      <c r="C125" s="11" t="s">
        <v>25</v>
      </c>
      <c r="D125" s="11" t="s">
        <v>26</v>
      </c>
      <c r="E125" s="11" t="s">
        <v>27</v>
      </c>
      <c r="F125" s="11" t="s">
        <v>28</v>
      </c>
      <c r="G125" s="11" t="s">
        <v>29</v>
      </c>
      <c r="H125" s="11" t="s">
        <v>30</v>
      </c>
      <c r="I125" s="11" t="s">
        <v>31</v>
      </c>
      <c r="J125" s="11" t="s">
        <v>32</v>
      </c>
      <c r="K125" s="11" t="s">
        <v>33</v>
      </c>
      <c r="L125" s="11" t="s">
        <v>34</v>
      </c>
      <c r="M125" s="11" t="s">
        <v>35</v>
      </c>
      <c r="N125" s="11" t="s">
        <v>36</v>
      </c>
      <c r="O125" s="11" t="s">
        <v>37</v>
      </c>
      <c r="P125" s="11" t="s">
        <v>38</v>
      </c>
      <c r="Q125" s="11" t="s">
        <v>39</v>
      </c>
      <c r="R125" s="11" t="s">
        <v>40</v>
      </c>
      <c r="S125" s="11" t="s">
        <v>41</v>
      </c>
      <c r="T125" s="11" t="s">
        <v>42</v>
      </c>
      <c r="U125" s="11" t="s">
        <v>43</v>
      </c>
      <c r="V125" s="11" t="s">
        <v>44</v>
      </c>
      <c r="W125" s="11" t="s">
        <v>45</v>
      </c>
      <c r="X125" s="12" t="s">
        <v>46</v>
      </c>
      <c r="Y125" s="12" t="s">
        <v>47</v>
      </c>
      <c r="Z125" s="12"/>
    </row>
    <row r="126" spans="1:26" x14ac:dyDescent="0.25">
      <c r="A126" s="13" t="s">
        <v>48</v>
      </c>
      <c r="B126" s="14"/>
      <c r="C126" s="14">
        <v>1E-3</v>
      </c>
      <c r="D126" s="14"/>
      <c r="E126" s="14"/>
      <c r="F126" s="14"/>
      <c r="G126" s="14"/>
      <c r="H126" s="14"/>
      <c r="I126" s="14">
        <v>0.05</v>
      </c>
      <c r="J126" s="14"/>
      <c r="K126" s="15"/>
      <c r="L126" s="15">
        <v>8.0000000000000002E-3</v>
      </c>
      <c r="M126" s="15"/>
      <c r="N126" s="15"/>
      <c r="O126" s="15"/>
      <c r="P126" s="15"/>
      <c r="Q126" s="15"/>
      <c r="R126" s="15">
        <v>5.0000000000000001E-3</v>
      </c>
      <c r="S126" s="15"/>
      <c r="T126" s="14"/>
      <c r="U126" s="14"/>
      <c r="V126" s="14"/>
      <c r="W126" s="14"/>
      <c r="X126" s="14"/>
      <c r="Y126" s="14"/>
      <c r="Z126" s="14"/>
    </row>
    <row r="127" spans="1:26" x14ac:dyDescent="0.25">
      <c r="A127" s="13" t="s">
        <v>87</v>
      </c>
      <c r="B127" s="14"/>
      <c r="C127" s="14">
        <v>1E-3</v>
      </c>
      <c r="D127" s="14"/>
      <c r="E127" s="14">
        <v>0.04</v>
      </c>
      <c r="F127" s="14">
        <v>1.4999999999999999E-2</v>
      </c>
      <c r="G127" s="14">
        <v>0.2</v>
      </c>
      <c r="H127" s="14"/>
      <c r="I127" s="14"/>
      <c r="J127" s="14"/>
      <c r="K127" s="15"/>
      <c r="L127" s="15"/>
      <c r="M127" s="15"/>
      <c r="N127" s="15"/>
      <c r="O127" s="15"/>
      <c r="P127" s="15"/>
      <c r="Q127" s="15"/>
      <c r="R127" s="15"/>
      <c r="S127" s="15">
        <v>0.01</v>
      </c>
      <c r="T127" s="14"/>
      <c r="U127" s="14"/>
      <c r="V127" s="14"/>
      <c r="W127" s="14"/>
      <c r="X127" s="14"/>
      <c r="Y127" s="14">
        <v>0.03</v>
      </c>
      <c r="Z127" s="14"/>
    </row>
    <row r="128" spans="1:26" x14ac:dyDescent="0.25">
      <c r="A128" s="13" t="s">
        <v>50</v>
      </c>
      <c r="B128" s="14">
        <v>0.05</v>
      </c>
      <c r="C128" s="14"/>
      <c r="D128" s="14"/>
      <c r="E128" s="14"/>
      <c r="F128" s="14"/>
      <c r="G128" s="14"/>
      <c r="H128" s="14"/>
      <c r="I128" s="14"/>
      <c r="J128" s="14"/>
      <c r="K128" s="15"/>
      <c r="L128" s="15"/>
      <c r="M128" s="15"/>
      <c r="N128" s="15"/>
      <c r="O128" s="15"/>
      <c r="P128" s="15"/>
      <c r="Q128" s="15"/>
      <c r="R128" s="15"/>
      <c r="S128" s="15"/>
      <c r="T128" s="14"/>
      <c r="U128" s="14"/>
      <c r="V128" s="14"/>
      <c r="W128" s="14"/>
      <c r="X128" s="14"/>
      <c r="Y128" s="14"/>
      <c r="Z128" s="14"/>
    </row>
    <row r="129" spans="1:26" x14ac:dyDescent="0.25">
      <c r="A129" s="13" t="s">
        <v>90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5"/>
      <c r="L129" s="15"/>
      <c r="M129" s="15"/>
      <c r="N129" s="15"/>
      <c r="O129" s="15"/>
      <c r="P129" s="15"/>
      <c r="Q129" s="15"/>
      <c r="R129" s="15"/>
      <c r="S129" s="15"/>
      <c r="T129" s="14"/>
      <c r="U129" s="14">
        <v>0.01</v>
      </c>
      <c r="V129" s="14"/>
      <c r="W129" s="14"/>
      <c r="X129" s="14">
        <v>1E-3</v>
      </c>
      <c r="Y129" s="14"/>
      <c r="Z129" s="14"/>
    </row>
    <row r="130" spans="1:26" x14ac:dyDescent="0.25">
      <c r="A130" s="13" t="s">
        <v>52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5"/>
      <c r="L130" s="15"/>
      <c r="M130" s="15"/>
      <c r="N130" s="15"/>
      <c r="O130" s="15"/>
      <c r="P130" s="15"/>
      <c r="Q130" s="15"/>
      <c r="R130" s="15"/>
      <c r="S130" s="15"/>
      <c r="T130" s="14"/>
      <c r="U130" s="14"/>
      <c r="V130" s="14"/>
      <c r="W130" s="14">
        <v>0.1</v>
      </c>
      <c r="X130" s="14"/>
      <c r="Y130" s="14"/>
      <c r="Z130" s="14"/>
    </row>
    <row r="131" spans="1:26" x14ac:dyDescent="0.25">
      <c r="A131" s="13" t="s">
        <v>53</v>
      </c>
      <c r="B131" s="14"/>
      <c r="C131" s="14">
        <v>1E-3</v>
      </c>
      <c r="D131" s="14">
        <v>0.13500000000000001</v>
      </c>
      <c r="E131" s="14"/>
      <c r="F131" s="14"/>
      <c r="G131" s="14"/>
      <c r="H131" s="14"/>
      <c r="I131" s="14"/>
      <c r="J131" s="14"/>
      <c r="K131" s="15"/>
      <c r="L131" s="15"/>
      <c r="M131" s="15"/>
      <c r="N131" s="15"/>
      <c r="O131" s="15"/>
      <c r="P131" s="15"/>
      <c r="Q131" s="15"/>
      <c r="R131" s="15"/>
      <c r="S131" s="15"/>
      <c r="T131" s="14"/>
      <c r="U131" s="14"/>
      <c r="V131" s="14"/>
      <c r="W131" s="14"/>
      <c r="X131" s="14"/>
      <c r="Y131" s="14"/>
      <c r="Z131" s="14"/>
    </row>
    <row r="132" spans="1:26" x14ac:dyDescent="0.25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5"/>
      <c r="L132" s="15"/>
      <c r="M132" s="15"/>
      <c r="N132" s="15"/>
      <c r="O132" s="15"/>
      <c r="P132" s="15"/>
      <c r="Q132" s="15"/>
      <c r="R132" s="15"/>
      <c r="S132" s="15"/>
      <c r="T132" s="14"/>
      <c r="U132" s="14" t="s">
        <v>54</v>
      </c>
      <c r="V132" s="14"/>
      <c r="W132" s="14"/>
      <c r="X132" s="14"/>
      <c r="Y132" s="14"/>
      <c r="Z132" s="14"/>
    </row>
    <row r="133" spans="1:26" x14ac:dyDescent="0.25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5"/>
      <c r="L133" s="15"/>
      <c r="M133" s="15"/>
      <c r="N133" s="15"/>
      <c r="O133" s="15"/>
      <c r="P133" s="15"/>
      <c r="Q133" s="15"/>
      <c r="R133" s="15"/>
      <c r="S133" s="15"/>
      <c r="T133" s="14"/>
      <c r="U133" s="14"/>
      <c r="V133" s="14"/>
      <c r="W133" s="14"/>
      <c r="X133" s="14"/>
      <c r="Y133" s="14"/>
      <c r="Z133" s="14"/>
    </row>
    <row r="134" spans="1:26" x14ac:dyDescent="0.25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5"/>
      <c r="L134" s="15"/>
      <c r="M134" s="15"/>
      <c r="N134" s="15"/>
      <c r="O134" s="15"/>
      <c r="P134" s="15"/>
      <c r="Q134" s="15"/>
      <c r="R134" s="15"/>
      <c r="S134" s="15"/>
      <c r="T134" s="14"/>
      <c r="U134" s="14"/>
      <c r="V134" s="14"/>
      <c r="W134" s="14"/>
      <c r="X134" s="14"/>
      <c r="Y134" s="14"/>
      <c r="Z134" s="14"/>
    </row>
    <row r="135" spans="1:26" x14ac:dyDescent="0.25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5"/>
      <c r="L135" s="15"/>
      <c r="M135" s="15"/>
      <c r="N135" s="15"/>
      <c r="O135" s="15"/>
      <c r="P135" s="15"/>
      <c r="Q135" s="15"/>
      <c r="R135" s="15"/>
      <c r="S135" s="15"/>
      <c r="T135" s="14"/>
      <c r="U135" s="14"/>
      <c r="V135" s="14"/>
      <c r="W135" s="14"/>
      <c r="X135" s="14"/>
      <c r="Y135" s="14"/>
      <c r="Z135" s="14"/>
    </row>
    <row r="136" spans="1:26" x14ac:dyDescent="0.25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5"/>
      <c r="L136" s="15"/>
      <c r="M136" s="15"/>
      <c r="N136" s="15"/>
      <c r="O136" s="15"/>
      <c r="P136" s="15"/>
      <c r="Q136" s="15"/>
      <c r="R136" s="15"/>
      <c r="S136" s="15"/>
      <c r="T136" s="14"/>
      <c r="U136" s="14"/>
      <c r="V136" s="14"/>
      <c r="W136" s="14"/>
      <c r="X136" s="14"/>
      <c r="Y136" s="14"/>
      <c r="Z136" s="14"/>
    </row>
    <row r="137" spans="1:26" x14ac:dyDescent="0.25">
      <c r="A137" s="13"/>
      <c r="C137" s="14"/>
      <c r="D137" s="14"/>
      <c r="E137" s="14"/>
      <c r="F137" s="14"/>
      <c r="G137" s="14"/>
      <c r="H137" s="14"/>
      <c r="I137" s="14"/>
      <c r="J137" s="14"/>
      <c r="K137" s="15"/>
      <c r="L137" s="15"/>
      <c r="M137" s="15"/>
      <c r="N137" s="15"/>
      <c r="O137" s="15"/>
      <c r="P137" s="15"/>
      <c r="Q137" s="15"/>
      <c r="R137" s="15"/>
      <c r="S137" s="15"/>
      <c r="T137" s="14"/>
      <c r="U137" s="14"/>
      <c r="V137" s="14"/>
      <c r="W137" s="14"/>
      <c r="X137" s="14"/>
      <c r="Y137" s="14"/>
      <c r="Z137" s="14"/>
    </row>
    <row r="138" spans="1:26" x14ac:dyDescent="0.25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5"/>
      <c r="L138" s="15"/>
      <c r="M138" s="15"/>
      <c r="N138" s="15"/>
      <c r="O138" s="15"/>
      <c r="P138" s="15"/>
      <c r="Q138" s="15"/>
      <c r="R138" s="15"/>
      <c r="S138" s="15"/>
      <c r="T138" s="14"/>
      <c r="U138" s="14"/>
      <c r="V138" s="14"/>
      <c r="W138" s="14"/>
      <c r="X138" s="14"/>
      <c r="Y138" s="14"/>
      <c r="Z138" s="14"/>
    </row>
    <row r="139" spans="1:26" x14ac:dyDescent="0.25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5"/>
      <c r="L139" s="15"/>
      <c r="M139" s="15"/>
      <c r="N139" s="15"/>
      <c r="O139" s="15"/>
      <c r="P139" s="15"/>
      <c r="Q139" s="15"/>
      <c r="R139" s="15"/>
      <c r="S139" s="15"/>
      <c r="T139" s="14"/>
      <c r="U139" s="14"/>
      <c r="V139" s="14"/>
      <c r="W139" s="14"/>
      <c r="X139" s="14"/>
      <c r="Y139" s="14"/>
      <c r="Z139" s="14"/>
    </row>
    <row r="140" spans="1:26" x14ac:dyDescent="0.25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5"/>
      <c r="L140" s="15"/>
      <c r="M140" s="15"/>
      <c r="N140" s="15"/>
      <c r="O140" s="15"/>
      <c r="P140" s="15"/>
      <c r="Q140" s="15"/>
      <c r="R140" s="15"/>
      <c r="S140" s="15"/>
      <c r="T140" s="14"/>
      <c r="U140" s="14"/>
      <c r="V140" s="14"/>
      <c r="W140" s="14"/>
      <c r="X140" s="14"/>
      <c r="Y140" s="14"/>
      <c r="Z140" s="14"/>
    </row>
    <row r="141" spans="1:26" x14ac:dyDescent="0.25">
      <c r="A141" s="13" t="s">
        <v>55</v>
      </c>
      <c r="B141" s="16">
        <f>SUM(B126:B140)</f>
        <v>0.05</v>
      </c>
      <c r="C141" s="16">
        <f t="shared" ref="C141:X141" si="8">SUM(C126:C140)</f>
        <v>3.0000000000000001E-3</v>
      </c>
      <c r="D141" s="16">
        <f t="shared" si="8"/>
        <v>0.13500000000000001</v>
      </c>
      <c r="E141" s="16">
        <f t="shared" si="8"/>
        <v>0.04</v>
      </c>
      <c r="F141" s="16">
        <f t="shared" si="8"/>
        <v>1.4999999999999999E-2</v>
      </c>
      <c r="G141" s="16">
        <f t="shared" si="8"/>
        <v>0.2</v>
      </c>
      <c r="H141" s="16">
        <f t="shared" si="8"/>
        <v>0</v>
      </c>
      <c r="I141" s="16">
        <f t="shared" si="8"/>
        <v>0.05</v>
      </c>
      <c r="J141" s="16">
        <f t="shared" si="8"/>
        <v>0</v>
      </c>
      <c r="K141" s="16">
        <f t="shared" si="8"/>
        <v>0</v>
      </c>
      <c r="L141" s="16">
        <f t="shared" si="8"/>
        <v>8.0000000000000002E-3</v>
      </c>
      <c r="M141" s="16">
        <f t="shared" si="8"/>
        <v>0</v>
      </c>
      <c r="N141" s="16">
        <f t="shared" si="8"/>
        <v>0</v>
      </c>
      <c r="O141" s="16">
        <f t="shared" si="8"/>
        <v>0</v>
      </c>
      <c r="P141" s="16">
        <f t="shared" si="8"/>
        <v>0</v>
      </c>
      <c r="Q141" s="16">
        <f t="shared" si="8"/>
        <v>0</v>
      </c>
      <c r="R141" s="16">
        <f t="shared" si="8"/>
        <v>5.0000000000000001E-3</v>
      </c>
      <c r="S141" s="16">
        <f t="shared" si="8"/>
        <v>0.01</v>
      </c>
      <c r="T141" s="16">
        <f t="shared" si="8"/>
        <v>0</v>
      </c>
      <c r="U141" s="16">
        <f t="shared" si="8"/>
        <v>0.01</v>
      </c>
      <c r="V141" s="16">
        <f t="shared" si="8"/>
        <v>0</v>
      </c>
      <c r="W141" s="16">
        <f t="shared" si="8"/>
        <v>0.1</v>
      </c>
      <c r="X141" s="16">
        <f t="shared" si="8"/>
        <v>1E-3</v>
      </c>
      <c r="Y141" s="16">
        <v>0.04</v>
      </c>
      <c r="Z141" s="16"/>
    </row>
    <row r="142" spans="1:26" x14ac:dyDescent="0.25">
      <c r="A142" s="13" t="s">
        <v>56</v>
      </c>
      <c r="B142" s="17">
        <f>B123*B141</f>
        <v>0.05</v>
      </c>
      <c r="C142" s="17">
        <f>C141*B123</f>
        <v>3.0000000000000001E-3</v>
      </c>
      <c r="D142" s="17">
        <f>D141*B123</f>
        <v>0.13500000000000001</v>
      </c>
      <c r="E142" s="17">
        <f>B123*E141</f>
        <v>0.04</v>
      </c>
      <c r="F142" s="17">
        <f>F141*B123</f>
        <v>1.4999999999999999E-2</v>
      </c>
      <c r="G142" s="17">
        <f>B123*G141</f>
        <v>0.2</v>
      </c>
      <c r="H142" s="17">
        <f>B123*H141</f>
        <v>0</v>
      </c>
      <c r="I142" s="17">
        <f>B123*I141</f>
        <v>0.05</v>
      </c>
      <c r="J142" s="17">
        <f>B123*J141</f>
        <v>0</v>
      </c>
      <c r="K142" s="17">
        <f>B123*K141</f>
        <v>0</v>
      </c>
      <c r="L142" s="17">
        <f>B123*L141</f>
        <v>8.0000000000000002E-3</v>
      </c>
      <c r="M142" s="17">
        <f>B123*M141</f>
        <v>0</v>
      </c>
      <c r="N142" s="17">
        <f>B123*N141</f>
        <v>0</v>
      </c>
      <c r="O142" s="17">
        <f>B123*O141</f>
        <v>0</v>
      </c>
      <c r="P142" s="17">
        <f>B123*P141</f>
        <v>0</v>
      </c>
      <c r="Q142" s="17">
        <f>B123*Q141</f>
        <v>0</v>
      </c>
      <c r="R142" s="17">
        <f>B123*R141</f>
        <v>5.0000000000000001E-3</v>
      </c>
      <c r="S142" s="17">
        <f>B123*S141</f>
        <v>0.01</v>
      </c>
      <c r="T142" s="17">
        <f>B123*T141</f>
        <v>0</v>
      </c>
      <c r="U142" s="17">
        <f>B123*U141</f>
        <v>0.01</v>
      </c>
      <c r="V142" s="17">
        <f>B123*V141</f>
        <v>0</v>
      </c>
      <c r="W142" s="17">
        <f>B123*W141</f>
        <v>0.1</v>
      </c>
      <c r="X142" s="17">
        <f>B133*X141</f>
        <v>0</v>
      </c>
      <c r="Y142" s="17">
        <f>B123*Y141</f>
        <v>0.04</v>
      </c>
      <c r="Z142" s="17"/>
    </row>
    <row r="143" spans="1:26" x14ac:dyDescent="0.25">
      <c r="A143" s="13" t="s">
        <v>57</v>
      </c>
      <c r="B143" s="13">
        <v>50</v>
      </c>
      <c r="C143" s="13">
        <v>20</v>
      </c>
      <c r="D143" s="13">
        <v>240</v>
      </c>
      <c r="E143" s="13">
        <v>60</v>
      </c>
      <c r="F143" s="13">
        <v>40</v>
      </c>
      <c r="G143" s="13">
        <v>60</v>
      </c>
      <c r="H143" s="13">
        <v>30</v>
      </c>
      <c r="I143" s="13">
        <v>60</v>
      </c>
      <c r="J143" s="13">
        <v>55</v>
      </c>
      <c r="K143" s="13">
        <v>60</v>
      </c>
      <c r="L143" s="13">
        <v>270</v>
      </c>
      <c r="M143" s="13">
        <v>80</v>
      </c>
      <c r="N143" s="13">
        <v>500</v>
      </c>
      <c r="O143" s="13">
        <v>500</v>
      </c>
      <c r="P143" s="13">
        <v>80</v>
      </c>
      <c r="Q143" s="13">
        <v>27</v>
      </c>
      <c r="R143" s="13">
        <v>100</v>
      </c>
      <c r="S143" s="13">
        <v>300</v>
      </c>
      <c r="T143" s="13">
        <v>600</v>
      </c>
      <c r="U143" s="13">
        <v>60</v>
      </c>
      <c r="V143" s="13">
        <v>180</v>
      </c>
      <c r="W143" s="13">
        <v>120</v>
      </c>
      <c r="X143" s="13">
        <v>1100</v>
      </c>
      <c r="Y143" s="13">
        <v>60</v>
      </c>
      <c r="Z143" s="13"/>
    </row>
    <row r="144" spans="1:26" ht="15.75" thickBot="1" x14ac:dyDescent="0.3">
      <c r="A144" s="13" t="s">
        <v>58</v>
      </c>
      <c r="B144" s="18">
        <f>B142*B143</f>
        <v>2.5</v>
      </c>
      <c r="C144" s="18">
        <f t="shared" ref="C144:Y144" si="9">C142*C143</f>
        <v>0.06</v>
      </c>
      <c r="D144" s="18">
        <f t="shared" si="9"/>
        <v>32.400000000000006</v>
      </c>
      <c r="E144" s="18">
        <f t="shared" si="9"/>
        <v>2.4</v>
      </c>
      <c r="F144" s="18">
        <f t="shared" si="9"/>
        <v>0.6</v>
      </c>
      <c r="G144" s="18">
        <f t="shared" si="9"/>
        <v>12</v>
      </c>
      <c r="H144" s="18">
        <f t="shared" si="9"/>
        <v>0</v>
      </c>
      <c r="I144" s="18">
        <f t="shared" si="9"/>
        <v>3</v>
      </c>
      <c r="J144" s="18">
        <f t="shared" si="9"/>
        <v>0</v>
      </c>
      <c r="K144" s="18">
        <f t="shared" si="9"/>
        <v>0</v>
      </c>
      <c r="L144" s="18">
        <f t="shared" si="9"/>
        <v>2.16</v>
      </c>
      <c r="M144" s="18">
        <f t="shared" si="9"/>
        <v>0</v>
      </c>
      <c r="N144" s="18">
        <f t="shared" si="9"/>
        <v>0</v>
      </c>
      <c r="O144" s="18">
        <f t="shared" si="9"/>
        <v>0</v>
      </c>
      <c r="P144" s="18">
        <f t="shared" si="9"/>
        <v>0</v>
      </c>
      <c r="Q144" s="18">
        <f t="shared" si="9"/>
        <v>0</v>
      </c>
      <c r="R144" s="18">
        <f t="shared" si="9"/>
        <v>0.5</v>
      </c>
      <c r="S144" s="18">
        <f t="shared" si="9"/>
        <v>3</v>
      </c>
      <c r="T144" s="18">
        <f t="shared" si="9"/>
        <v>0</v>
      </c>
      <c r="U144" s="18">
        <f t="shared" si="9"/>
        <v>0.6</v>
      </c>
      <c r="V144" s="18">
        <f t="shared" si="9"/>
        <v>0</v>
      </c>
      <c r="W144" s="18">
        <f t="shared" si="9"/>
        <v>12</v>
      </c>
      <c r="X144" s="18">
        <f t="shared" si="9"/>
        <v>0</v>
      </c>
      <c r="Y144" s="18">
        <f t="shared" si="9"/>
        <v>2.4</v>
      </c>
      <c r="Z144" s="18"/>
    </row>
    <row r="145" spans="1:26" ht="15.75" thickBot="1" x14ac:dyDescent="0.3">
      <c r="A145" s="8" t="s">
        <v>59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19" t="s">
        <v>82</v>
      </c>
      <c r="X145" s="20"/>
      <c r="Y145" s="20"/>
      <c r="Z145" s="19"/>
    </row>
    <row r="155" spans="1:26" ht="15.75" thickBot="1" x14ac:dyDescent="0.3"/>
    <row r="156" spans="1:26" ht="15.75" thickBot="1" x14ac:dyDescent="0.3">
      <c r="A156" s="6" t="s">
        <v>22</v>
      </c>
      <c r="B156" s="7">
        <v>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9"/>
      <c r="Z156" s="9"/>
    </row>
    <row r="157" spans="1:26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9"/>
      <c r="Z157" s="9"/>
    </row>
    <row r="158" spans="1:26" ht="55.5" x14ac:dyDescent="0.25">
      <c r="A158" s="10" t="s">
        <v>23</v>
      </c>
      <c r="B158" s="11" t="s">
        <v>24</v>
      </c>
      <c r="C158" s="11" t="s">
        <v>25</v>
      </c>
      <c r="D158" s="11" t="s">
        <v>26</v>
      </c>
      <c r="E158" s="11" t="s">
        <v>27</v>
      </c>
      <c r="F158" s="11" t="s">
        <v>28</v>
      </c>
      <c r="G158" s="11" t="s">
        <v>29</v>
      </c>
      <c r="H158" s="11" t="s">
        <v>30</v>
      </c>
      <c r="I158" s="11" t="s">
        <v>31</v>
      </c>
      <c r="J158" s="11" t="s">
        <v>32</v>
      </c>
      <c r="K158" s="11" t="s">
        <v>33</v>
      </c>
      <c r="L158" s="11" t="s">
        <v>34</v>
      </c>
      <c r="M158" s="11" t="s">
        <v>35</v>
      </c>
      <c r="N158" s="11" t="s">
        <v>36</v>
      </c>
      <c r="O158" s="11" t="s">
        <v>37</v>
      </c>
      <c r="P158" s="11" t="s">
        <v>38</v>
      </c>
      <c r="Q158" s="11" t="s">
        <v>39</v>
      </c>
      <c r="R158" s="11" t="s">
        <v>40</v>
      </c>
      <c r="S158" s="11" t="s">
        <v>41</v>
      </c>
      <c r="T158" s="11" t="s">
        <v>42</v>
      </c>
      <c r="U158" s="11" t="s">
        <v>43</v>
      </c>
      <c r="V158" s="11" t="s">
        <v>44</v>
      </c>
      <c r="W158" s="11" t="s">
        <v>45</v>
      </c>
      <c r="X158" s="12" t="s">
        <v>46</v>
      </c>
      <c r="Y158" s="12" t="s">
        <v>47</v>
      </c>
      <c r="Z158" s="12"/>
    </row>
    <row r="159" spans="1:26" x14ac:dyDescent="0.25">
      <c r="A159" s="13" t="s">
        <v>89</v>
      </c>
      <c r="B159" s="14"/>
      <c r="C159" s="14">
        <v>1E-3</v>
      </c>
      <c r="D159" s="14"/>
      <c r="E159" s="14"/>
      <c r="F159" s="14"/>
      <c r="G159" s="14"/>
      <c r="H159" s="14"/>
      <c r="I159" s="14">
        <v>0.05</v>
      </c>
      <c r="J159" s="14"/>
      <c r="K159" s="15"/>
      <c r="L159" s="15">
        <v>8.0000000000000002E-3</v>
      </c>
      <c r="M159" s="15"/>
      <c r="N159" s="15"/>
      <c r="O159" s="15"/>
      <c r="P159" s="15"/>
      <c r="Q159" s="15"/>
      <c r="R159" s="15">
        <v>5.0000000000000001E-3</v>
      </c>
      <c r="S159" s="15"/>
      <c r="T159" s="14"/>
      <c r="U159" s="14"/>
      <c r="V159" s="14"/>
      <c r="W159" s="14"/>
      <c r="X159" s="14"/>
      <c r="Y159" s="14"/>
      <c r="Z159" s="14"/>
    </row>
    <row r="160" spans="1:26" x14ac:dyDescent="0.25">
      <c r="A160" s="13" t="s">
        <v>88</v>
      </c>
      <c r="B160" s="14"/>
      <c r="C160" s="14">
        <v>1E-3</v>
      </c>
      <c r="D160" s="14"/>
      <c r="E160" s="14">
        <v>0.04</v>
      </c>
      <c r="F160" s="14">
        <v>1.4999999999999999E-2</v>
      </c>
      <c r="G160" s="14">
        <v>0.2</v>
      </c>
      <c r="H160" s="14"/>
      <c r="I160" s="14"/>
      <c r="J160" s="14"/>
      <c r="K160" s="15"/>
      <c r="L160" s="15"/>
      <c r="M160" s="15"/>
      <c r="N160" s="15"/>
      <c r="O160" s="15"/>
      <c r="P160" s="15"/>
      <c r="Q160" s="15"/>
      <c r="R160" s="15"/>
      <c r="S160" s="15">
        <v>0.01</v>
      </c>
      <c r="T160" s="14"/>
      <c r="U160" s="14"/>
      <c r="V160" s="14"/>
      <c r="W160" s="14"/>
      <c r="X160" s="14"/>
      <c r="Y160" s="14">
        <v>0.03</v>
      </c>
      <c r="Z160" s="14"/>
    </row>
    <row r="161" spans="1:26" x14ac:dyDescent="0.25">
      <c r="A161" s="13" t="s">
        <v>50</v>
      </c>
      <c r="B161" s="14">
        <v>0.05</v>
      </c>
      <c r="C161" s="14"/>
      <c r="D161" s="14"/>
      <c r="E161" s="14"/>
      <c r="F161" s="14"/>
      <c r="G161" s="14"/>
      <c r="H161" s="14"/>
      <c r="I161" s="14"/>
      <c r="J161" s="14"/>
      <c r="K161" s="15"/>
      <c r="L161" s="15"/>
      <c r="M161" s="15"/>
      <c r="N161" s="15"/>
      <c r="O161" s="15"/>
      <c r="P161" s="15"/>
      <c r="Q161" s="15"/>
      <c r="R161" s="15"/>
      <c r="S161" s="15"/>
      <c r="T161" s="14"/>
      <c r="U161" s="14"/>
      <c r="V161" s="14"/>
      <c r="W161" s="14"/>
      <c r="X161" s="14"/>
      <c r="Y161" s="14"/>
      <c r="Z161" s="14"/>
    </row>
    <row r="162" spans="1:26" x14ac:dyDescent="0.25">
      <c r="A162" s="13" t="s">
        <v>46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5"/>
      <c r="L162" s="15"/>
      <c r="M162" s="15"/>
      <c r="N162" s="15"/>
      <c r="O162" s="15"/>
      <c r="P162" s="15"/>
      <c r="Q162" s="15"/>
      <c r="R162" s="15"/>
      <c r="S162" s="15"/>
      <c r="T162" s="14"/>
      <c r="U162" s="14">
        <v>0.01</v>
      </c>
      <c r="V162" s="14"/>
      <c r="W162" s="14"/>
      <c r="X162" s="14">
        <v>1E-3</v>
      </c>
      <c r="Y162" s="14"/>
      <c r="Z162" s="14"/>
    </row>
    <row r="163" spans="1:26" x14ac:dyDescent="0.25">
      <c r="A163" s="13" t="s">
        <v>52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5"/>
      <c r="L163" s="15"/>
      <c r="M163" s="15"/>
      <c r="N163" s="15"/>
      <c r="O163" s="15"/>
      <c r="P163" s="15"/>
      <c r="Q163" s="15"/>
      <c r="R163" s="15"/>
      <c r="S163" s="15"/>
      <c r="T163" s="14"/>
      <c r="U163" s="14"/>
      <c r="V163" s="14"/>
      <c r="W163" s="14">
        <v>0.1</v>
      </c>
      <c r="X163" s="14"/>
      <c r="Y163" s="14"/>
      <c r="Z163" s="14"/>
    </row>
    <row r="164" spans="1:26" x14ac:dyDescent="0.25">
      <c r="A164" s="13" t="s">
        <v>53</v>
      </c>
      <c r="B164" s="14"/>
      <c r="C164" s="14">
        <v>1E-3</v>
      </c>
      <c r="D164" s="14">
        <v>0.13500000000000001</v>
      </c>
      <c r="E164" s="14"/>
      <c r="F164" s="14"/>
      <c r="G164" s="14"/>
      <c r="H164" s="14"/>
      <c r="I164" s="14"/>
      <c r="J164" s="14"/>
      <c r="K164" s="15"/>
      <c r="L164" s="15"/>
      <c r="M164" s="15"/>
      <c r="N164" s="15"/>
      <c r="O164" s="15"/>
      <c r="P164" s="15"/>
      <c r="Q164" s="15"/>
      <c r="R164" s="15"/>
      <c r="S164" s="15"/>
      <c r="T164" s="14"/>
      <c r="U164" s="14"/>
      <c r="V164" s="14"/>
      <c r="W164" s="14"/>
      <c r="X164" s="14"/>
      <c r="Y164" s="14"/>
      <c r="Z164" s="14"/>
    </row>
    <row r="165" spans="1:26" x14ac:dyDescent="0.25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5"/>
      <c r="L165" s="15"/>
      <c r="M165" s="15"/>
      <c r="N165" s="15"/>
      <c r="O165" s="15"/>
      <c r="P165" s="15"/>
      <c r="Q165" s="15"/>
      <c r="R165" s="15"/>
      <c r="S165" s="15"/>
      <c r="T165" s="14"/>
      <c r="U165" s="14" t="s">
        <v>54</v>
      </c>
      <c r="V165" s="14"/>
      <c r="W165" s="14"/>
      <c r="X165" s="14"/>
      <c r="Y165" s="14"/>
      <c r="Z165" s="14"/>
    </row>
    <row r="166" spans="1:26" x14ac:dyDescent="0.25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5"/>
      <c r="L166" s="15"/>
      <c r="M166" s="15"/>
      <c r="N166" s="15"/>
      <c r="O166" s="15"/>
      <c r="P166" s="15"/>
      <c r="Q166" s="15"/>
      <c r="R166" s="15"/>
      <c r="S166" s="15"/>
      <c r="T166" s="14"/>
      <c r="U166" s="14"/>
      <c r="V166" s="14"/>
      <c r="W166" s="14"/>
      <c r="X166" s="14"/>
      <c r="Y166" s="14"/>
      <c r="Z166" s="14"/>
    </row>
    <row r="167" spans="1:26" x14ac:dyDescent="0.25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5"/>
      <c r="L167" s="15"/>
      <c r="M167" s="15"/>
      <c r="N167" s="15"/>
      <c r="O167" s="15"/>
      <c r="P167" s="15"/>
      <c r="Q167" s="15"/>
      <c r="R167" s="15"/>
      <c r="S167" s="15"/>
      <c r="T167" s="14"/>
      <c r="U167" s="14"/>
      <c r="V167" s="14"/>
      <c r="W167" s="14"/>
      <c r="X167" s="14"/>
      <c r="Y167" s="14"/>
      <c r="Z167" s="14"/>
    </row>
    <row r="168" spans="1:26" x14ac:dyDescent="0.25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5"/>
      <c r="L168" s="15"/>
      <c r="M168" s="15"/>
      <c r="N168" s="15"/>
      <c r="O168" s="15"/>
      <c r="P168" s="15"/>
      <c r="Q168" s="15"/>
      <c r="R168" s="15"/>
      <c r="S168" s="15"/>
      <c r="T168" s="14"/>
      <c r="U168" s="14"/>
      <c r="V168" s="14"/>
      <c r="W168" s="14"/>
      <c r="X168" s="14"/>
      <c r="Y168" s="14"/>
      <c r="Z168" s="14"/>
    </row>
    <row r="169" spans="1:26" x14ac:dyDescent="0.25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5"/>
      <c r="L169" s="15"/>
      <c r="M169" s="15"/>
      <c r="N169" s="15"/>
      <c r="O169" s="15"/>
      <c r="P169" s="15"/>
      <c r="Q169" s="15"/>
      <c r="R169" s="15"/>
      <c r="S169" s="15"/>
      <c r="T169" s="14"/>
      <c r="U169" s="14"/>
      <c r="V169" s="14"/>
      <c r="W169" s="14"/>
      <c r="X169" s="14"/>
      <c r="Y169" s="14"/>
      <c r="Z169" s="14"/>
    </row>
    <row r="170" spans="1:26" x14ac:dyDescent="0.25">
      <c r="A170" s="13"/>
      <c r="C170" s="14"/>
      <c r="D170" s="14"/>
      <c r="E170" s="14"/>
      <c r="F170" s="14"/>
      <c r="G170" s="14"/>
      <c r="H170" s="14"/>
      <c r="I170" s="14"/>
      <c r="J170" s="14"/>
      <c r="K170" s="15"/>
      <c r="L170" s="15"/>
      <c r="M170" s="15"/>
      <c r="N170" s="15"/>
      <c r="O170" s="15"/>
      <c r="P170" s="15"/>
      <c r="Q170" s="15"/>
      <c r="R170" s="15"/>
      <c r="S170" s="15"/>
      <c r="T170" s="14"/>
      <c r="U170" s="14"/>
      <c r="V170" s="14"/>
      <c r="W170" s="14"/>
      <c r="X170" s="14"/>
      <c r="Y170" s="14"/>
      <c r="Z170" s="14"/>
    </row>
    <row r="171" spans="1:26" x14ac:dyDescent="0.25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5"/>
      <c r="L171" s="15"/>
      <c r="M171" s="15"/>
      <c r="N171" s="15"/>
      <c r="O171" s="15"/>
      <c r="P171" s="15"/>
      <c r="Q171" s="15"/>
      <c r="R171" s="15"/>
      <c r="S171" s="15"/>
      <c r="T171" s="14"/>
      <c r="U171" s="14"/>
      <c r="V171" s="14"/>
      <c r="W171" s="14"/>
      <c r="X171" s="14"/>
      <c r="Y171" s="14"/>
      <c r="Z171" s="14"/>
    </row>
    <row r="172" spans="1:26" x14ac:dyDescent="0.25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5"/>
      <c r="L172" s="15"/>
      <c r="M172" s="15"/>
      <c r="N172" s="15"/>
      <c r="O172" s="15"/>
      <c r="P172" s="15"/>
      <c r="Q172" s="15"/>
      <c r="R172" s="15"/>
      <c r="S172" s="15"/>
      <c r="T172" s="14"/>
      <c r="U172" s="14"/>
      <c r="V172" s="14"/>
      <c r="W172" s="14"/>
      <c r="X172" s="14"/>
      <c r="Y172" s="14"/>
      <c r="Z172" s="14"/>
    </row>
    <row r="173" spans="1:26" x14ac:dyDescent="0.25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5"/>
      <c r="L173" s="15"/>
      <c r="M173" s="15"/>
      <c r="N173" s="15"/>
      <c r="O173" s="15"/>
      <c r="P173" s="15"/>
      <c r="Q173" s="15"/>
      <c r="R173" s="15"/>
      <c r="S173" s="15"/>
      <c r="T173" s="14"/>
      <c r="U173" s="14"/>
      <c r="V173" s="14"/>
      <c r="W173" s="14"/>
      <c r="X173" s="14"/>
      <c r="Y173" s="14"/>
      <c r="Z173" s="14"/>
    </row>
    <row r="174" spans="1:26" x14ac:dyDescent="0.25">
      <c r="A174" s="13" t="s">
        <v>55</v>
      </c>
      <c r="B174" s="16">
        <f>SUM(B159:B173)</f>
        <v>0.05</v>
      </c>
      <c r="C174" s="16">
        <f t="shared" ref="C174:X174" si="10">SUM(C159:C173)</f>
        <v>3.0000000000000001E-3</v>
      </c>
      <c r="D174" s="16">
        <f t="shared" si="10"/>
        <v>0.13500000000000001</v>
      </c>
      <c r="E174" s="16">
        <f t="shared" si="10"/>
        <v>0.04</v>
      </c>
      <c r="F174" s="16">
        <f t="shared" si="10"/>
        <v>1.4999999999999999E-2</v>
      </c>
      <c r="G174" s="16">
        <f t="shared" si="10"/>
        <v>0.2</v>
      </c>
      <c r="H174" s="16">
        <f t="shared" si="10"/>
        <v>0</v>
      </c>
      <c r="I174" s="16">
        <f t="shared" si="10"/>
        <v>0.05</v>
      </c>
      <c r="J174" s="16">
        <f t="shared" si="10"/>
        <v>0</v>
      </c>
      <c r="K174" s="16">
        <f t="shared" si="10"/>
        <v>0</v>
      </c>
      <c r="L174" s="16">
        <f t="shared" si="10"/>
        <v>8.0000000000000002E-3</v>
      </c>
      <c r="M174" s="16">
        <f t="shared" si="10"/>
        <v>0</v>
      </c>
      <c r="N174" s="16">
        <f t="shared" si="10"/>
        <v>0</v>
      </c>
      <c r="O174" s="16">
        <f t="shared" si="10"/>
        <v>0</v>
      </c>
      <c r="P174" s="16">
        <f t="shared" si="10"/>
        <v>0</v>
      </c>
      <c r="Q174" s="16">
        <f t="shared" si="10"/>
        <v>0</v>
      </c>
      <c r="R174" s="16">
        <f t="shared" si="10"/>
        <v>5.0000000000000001E-3</v>
      </c>
      <c r="S174" s="16">
        <f t="shared" si="10"/>
        <v>0.01</v>
      </c>
      <c r="T174" s="16">
        <f t="shared" si="10"/>
        <v>0</v>
      </c>
      <c r="U174" s="16">
        <f t="shared" si="10"/>
        <v>0.01</v>
      </c>
      <c r="V174" s="16">
        <f t="shared" si="10"/>
        <v>0</v>
      </c>
      <c r="W174" s="16">
        <f t="shared" si="10"/>
        <v>0.1</v>
      </c>
      <c r="X174" s="16">
        <f t="shared" si="10"/>
        <v>1E-3</v>
      </c>
      <c r="Y174" s="16">
        <v>0.04</v>
      </c>
      <c r="Z174" s="16"/>
    </row>
    <row r="175" spans="1:26" x14ac:dyDescent="0.25">
      <c r="A175" s="13" t="s">
        <v>56</v>
      </c>
      <c r="B175" s="17">
        <f>B156*B174</f>
        <v>0.05</v>
      </c>
      <c r="C175" s="17">
        <f>C174*B156</f>
        <v>3.0000000000000001E-3</v>
      </c>
      <c r="D175" s="17">
        <f>D174*B156</f>
        <v>0.13500000000000001</v>
      </c>
      <c r="E175" s="17">
        <f>B156*E174</f>
        <v>0.04</v>
      </c>
      <c r="F175" s="17">
        <f>F174*B156</f>
        <v>1.4999999999999999E-2</v>
      </c>
      <c r="G175" s="17">
        <f>B156*G174</f>
        <v>0.2</v>
      </c>
      <c r="H175" s="17">
        <f>B156*H174</f>
        <v>0</v>
      </c>
      <c r="I175" s="17">
        <f>B156*I174</f>
        <v>0.05</v>
      </c>
      <c r="J175" s="17">
        <f>B156*J174</f>
        <v>0</v>
      </c>
      <c r="K175" s="17">
        <f>B156*K174</f>
        <v>0</v>
      </c>
      <c r="L175" s="17">
        <f>B156*L174</f>
        <v>8.0000000000000002E-3</v>
      </c>
      <c r="M175" s="17">
        <f>B156*M174</f>
        <v>0</v>
      </c>
      <c r="N175" s="17">
        <f>B156*N174</f>
        <v>0</v>
      </c>
      <c r="O175" s="17">
        <f>B156*O174</f>
        <v>0</v>
      </c>
      <c r="P175" s="17">
        <f>B156*P174</f>
        <v>0</v>
      </c>
      <c r="Q175" s="17">
        <f>B156*Q174</f>
        <v>0</v>
      </c>
      <c r="R175" s="17">
        <f>B156*R174</f>
        <v>5.0000000000000001E-3</v>
      </c>
      <c r="S175" s="17">
        <f>B156*S174</f>
        <v>0.01</v>
      </c>
      <c r="T175" s="17">
        <f>B156*T174</f>
        <v>0</v>
      </c>
      <c r="U175" s="17">
        <f>B156*U174</f>
        <v>0.01</v>
      </c>
      <c r="V175" s="17">
        <f>B156*V174</f>
        <v>0</v>
      </c>
      <c r="W175" s="17">
        <f>B156*W174</f>
        <v>0.1</v>
      </c>
      <c r="X175" s="17">
        <f>B166*X174</f>
        <v>0</v>
      </c>
      <c r="Y175" s="17">
        <f>B156*Y174</f>
        <v>0.04</v>
      </c>
      <c r="Z175" s="17"/>
    </row>
    <row r="176" spans="1:26" x14ac:dyDescent="0.25">
      <c r="A176" s="13" t="s">
        <v>57</v>
      </c>
      <c r="B176" s="13">
        <v>50</v>
      </c>
      <c r="C176" s="13">
        <v>20</v>
      </c>
      <c r="D176" s="13">
        <v>240</v>
      </c>
      <c r="E176" s="13">
        <v>60</v>
      </c>
      <c r="F176" s="13">
        <v>40</v>
      </c>
      <c r="G176" s="13">
        <v>60</v>
      </c>
      <c r="H176" s="13">
        <v>30</v>
      </c>
      <c r="I176" s="13">
        <v>60</v>
      </c>
      <c r="J176" s="13">
        <v>55</v>
      </c>
      <c r="K176" s="13">
        <v>60</v>
      </c>
      <c r="L176" s="13">
        <v>270</v>
      </c>
      <c r="M176" s="13">
        <v>80</v>
      </c>
      <c r="N176" s="13">
        <v>500</v>
      </c>
      <c r="O176" s="13">
        <v>500</v>
      </c>
      <c r="P176" s="13">
        <v>80</v>
      </c>
      <c r="Q176" s="13">
        <v>27</v>
      </c>
      <c r="R176" s="13">
        <v>100</v>
      </c>
      <c r="S176" s="13">
        <v>300</v>
      </c>
      <c r="T176" s="13">
        <v>600</v>
      </c>
      <c r="U176" s="13">
        <v>60</v>
      </c>
      <c r="V176" s="13">
        <v>180</v>
      </c>
      <c r="W176" s="13">
        <v>120</v>
      </c>
      <c r="X176" s="13">
        <v>1100</v>
      </c>
      <c r="Y176" s="13">
        <v>60</v>
      </c>
      <c r="Z176" s="13"/>
    </row>
    <row r="177" spans="1:26" ht="15.75" thickBot="1" x14ac:dyDescent="0.3">
      <c r="A177" s="13" t="s">
        <v>58</v>
      </c>
      <c r="B177" s="18">
        <f>B175*B176</f>
        <v>2.5</v>
      </c>
      <c r="C177" s="18">
        <f t="shared" ref="C177:Y177" si="11">C175*C176</f>
        <v>0.06</v>
      </c>
      <c r="D177" s="18">
        <f t="shared" si="11"/>
        <v>32.400000000000006</v>
      </c>
      <c r="E177" s="18">
        <f t="shared" si="11"/>
        <v>2.4</v>
      </c>
      <c r="F177" s="18">
        <f t="shared" si="11"/>
        <v>0.6</v>
      </c>
      <c r="G177" s="18">
        <f t="shared" si="11"/>
        <v>12</v>
      </c>
      <c r="H177" s="18">
        <f t="shared" si="11"/>
        <v>0</v>
      </c>
      <c r="I177" s="18">
        <f t="shared" si="11"/>
        <v>3</v>
      </c>
      <c r="J177" s="18">
        <f t="shared" si="11"/>
        <v>0</v>
      </c>
      <c r="K177" s="18">
        <f t="shared" si="11"/>
        <v>0</v>
      </c>
      <c r="L177" s="18">
        <f t="shared" si="11"/>
        <v>2.16</v>
      </c>
      <c r="M177" s="18">
        <f t="shared" si="11"/>
        <v>0</v>
      </c>
      <c r="N177" s="18">
        <f t="shared" si="11"/>
        <v>0</v>
      </c>
      <c r="O177" s="18">
        <f t="shared" si="11"/>
        <v>0</v>
      </c>
      <c r="P177" s="18">
        <f t="shared" si="11"/>
        <v>0</v>
      </c>
      <c r="Q177" s="18">
        <f t="shared" si="11"/>
        <v>0</v>
      </c>
      <c r="R177" s="18">
        <f t="shared" si="11"/>
        <v>0.5</v>
      </c>
      <c r="S177" s="18">
        <f t="shared" si="11"/>
        <v>3</v>
      </c>
      <c r="T177" s="18">
        <f t="shared" si="11"/>
        <v>0</v>
      </c>
      <c r="U177" s="18">
        <f t="shared" si="11"/>
        <v>0.6</v>
      </c>
      <c r="V177" s="18">
        <f t="shared" si="11"/>
        <v>0</v>
      </c>
      <c r="W177" s="18">
        <f t="shared" si="11"/>
        <v>12</v>
      </c>
      <c r="X177" s="18">
        <f t="shared" si="11"/>
        <v>0</v>
      </c>
      <c r="Y177" s="18">
        <f t="shared" si="11"/>
        <v>2.4</v>
      </c>
      <c r="Z177" s="18"/>
    </row>
    <row r="178" spans="1:26" ht="15.75" thickBot="1" x14ac:dyDescent="0.3">
      <c r="A178" s="8" t="s">
        <v>59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19" t="s">
        <v>82</v>
      </c>
      <c r="X178" s="20"/>
      <c r="Y178" s="20"/>
      <c r="Z178" s="19"/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"/>
  <sheetViews>
    <sheetView zoomScaleSheetLayoutView="130" workbookViewId="0">
      <selection activeCell="L24" sqref="L24"/>
    </sheetView>
  </sheetViews>
  <sheetFormatPr defaultRowHeight="15" x14ac:dyDescent="0.25"/>
  <cols>
    <col min="1" max="1" width="5.5703125" customWidth="1"/>
    <col min="2" max="2" width="9.140625" customWidth="1"/>
    <col min="6" max="6" width="12.140625" customWidth="1"/>
    <col min="9" max="9" width="7.140625" customWidth="1"/>
    <col min="10" max="10" width="11.5703125" customWidth="1"/>
  </cols>
  <sheetData>
    <row r="3" spans="2:14" ht="15.75" x14ac:dyDescent="0.25">
      <c r="B3" s="84" t="s">
        <v>66</v>
      </c>
      <c r="C3" s="84"/>
      <c r="D3" s="32"/>
      <c r="E3" s="32"/>
      <c r="F3" s="32"/>
      <c r="G3" s="31"/>
      <c r="H3" s="31"/>
      <c r="I3" s="31"/>
      <c r="J3" s="32"/>
      <c r="K3" s="32"/>
      <c r="L3" s="85" t="s">
        <v>65</v>
      </c>
      <c r="M3" s="85"/>
      <c r="N3" s="85"/>
    </row>
    <row r="4" spans="2:14" ht="15.75" x14ac:dyDescent="0.25">
      <c r="B4" s="83" t="s">
        <v>67</v>
      </c>
      <c r="C4" s="83"/>
      <c r="D4" s="83"/>
      <c r="E4" s="83"/>
      <c r="F4" s="83"/>
      <c r="G4" s="31"/>
      <c r="H4" s="31"/>
      <c r="I4" s="31"/>
      <c r="J4" s="85" t="s">
        <v>78</v>
      </c>
      <c r="K4" s="85"/>
      <c r="L4" s="85"/>
      <c r="M4" s="85"/>
      <c r="N4" s="85"/>
    </row>
    <row r="5" spans="2:14" ht="15.75" x14ac:dyDescent="0.25">
      <c r="B5" s="84" t="s">
        <v>74</v>
      </c>
      <c r="C5" s="84"/>
      <c r="D5" s="84"/>
      <c r="E5" s="84"/>
      <c r="F5" s="84"/>
      <c r="G5" s="31"/>
      <c r="H5" s="31"/>
      <c r="I5" s="31"/>
      <c r="J5" s="86" t="s">
        <v>79</v>
      </c>
      <c r="K5" s="86"/>
      <c r="L5" s="86"/>
      <c r="M5" s="86"/>
      <c r="N5" s="86"/>
    </row>
    <row r="6" spans="2:14" ht="16.5" thickBot="1" x14ac:dyDescent="0.3">
      <c r="B6" s="32" t="s">
        <v>68</v>
      </c>
      <c r="C6" s="33"/>
      <c r="D6" s="33"/>
      <c r="E6" s="32"/>
      <c r="F6" s="32"/>
      <c r="G6" s="31"/>
      <c r="H6" s="31"/>
      <c r="I6" s="31"/>
      <c r="J6" s="32"/>
      <c r="K6" s="33"/>
      <c r="L6" s="33"/>
      <c r="M6" s="85" t="s">
        <v>80</v>
      </c>
      <c r="N6" s="85"/>
    </row>
    <row r="10" spans="2:14" x14ac:dyDescent="0.25">
      <c r="D10" s="82" t="s">
        <v>81</v>
      </c>
      <c r="E10" s="82"/>
      <c r="F10" s="82"/>
      <c r="G10" s="82"/>
      <c r="H10" s="82"/>
      <c r="I10" s="82"/>
      <c r="J10" s="82"/>
      <c r="K10" s="82"/>
      <c r="L10" s="82"/>
    </row>
    <row r="11" spans="2:14" x14ac:dyDescent="0.25">
      <c r="D11" s="82"/>
      <c r="E11" s="82"/>
      <c r="F11" s="82"/>
      <c r="G11" s="82"/>
      <c r="H11" s="82"/>
      <c r="I11" s="82"/>
      <c r="J11" s="82"/>
      <c r="K11" s="82"/>
      <c r="L11" s="82"/>
    </row>
    <row r="12" spans="2:14" x14ac:dyDescent="0.25">
      <c r="D12" s="82"/>
      <c r="E12" s="82"/>
      <c r="F12" s="82"/>
      <c r="G12" s="82"/>
      <c r="H12" s="82"/>
      <c r="I12" s="82"/>
      <c r="J12" s="82"/>
      <c r="K12" s="82"/>
      <c r="L12" s="82"/>
    </row>
    <row r="13" spans="2:14" x14ac:dyDescent="0.25">
      <c r="D13" s="82"/>
      <c r="E13" s="82"/>
      <c r="F13" s="82"/>
      <c r="G13" s="82"/>
      <c r="H13" s="82"/>
      <c r="I13" s="82"/>
      <c r="J13" s="82"/>
      <c r="K13" s="82"/>
      <c r="L13" s="82"/>
    </row>
  </sheetData>
  <mergeCells count="8">
    <mergeCell ref="D10:L13"/>
    <mergeCell ref="B4:F4"/>
    <mergeCell ref="B5:F5"/>
    <mergeCell ref="B3:C3"/>
    <mergeCell ref="M6:N6"/>
    <mergeCell ref="J5:N5"/>
    <mergeCell ref="L3:N3"/>
    <mergeCell ref="J4:N4"/>
  </mergeCells>
  <phoneticPr fontId="1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2022-01-19T07:45:10Z</dcterms:modified>
</cp:coreProperties>
</file>