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S22" i="1" l="1"/>
  <c r="F22" i="1"/>
  <c r="S20" i="1"/>
  <c r="P20" i="1"/>
  <c r="N20" i="1"/>
  <c r="K20" i="1"/>
  <c r="I20" i="1"/>
  <c r="G20" i="1"/>
  <c r="F20" i="1"/>
  <c r="Q20" i="1" s="1"/>
  <c r="P18" i="1"/>
  <c r="O18" i="1"/>
  <c r="M18" i="1"/>
  <c r="L18" i="1"/>
  <c r="K18" i="1"/>
  <c r="J18" i="1"/>
  <c r="H18" i="1"/>
  <c r="G18" i="1"/>
  <c r="E18" i="1"/>
  <c r="D18" i="1"/>
  <c r="S17" i="1"/>
  <c r="S18" i="1" s="1"/>
  <c r="Q17" i="1"/>
  <c r="Q18" i="1" s="1"/>
  <c r="N17" i="1"/>
  <c r="N18" i="1" s="1"/>
  <c r="J17" i="1"/>
  <c r="I17" i="1"/>
  <c r="I18" i="1" s="1"/>
  <c r="S16" i="1"/>
  <c r="Q16" i="1"/>
  <c r="O16" i="1"/>
  <c r="M16" i="1"/>
  <c r="K16" i="1"/>
  <c r="I16" i="1"/>
  <c r="G16" i="1"/>
  <c r="F16" i="1"/>
  <c r="P16" i="1" s="1"/>
  <c r="S14" i="1"/>
  <c r="Q14" i="1"/>
  <c r="P14" i="1"/>
  <c r="O14" i="1"/>
  <c r="N14" i="1"/>
  <c r="K14" i="1"/>
  <c r="J14" i="1"/>
  <c r="I14" i="1"/>
  <c r="H14" i="1"/>
  <c r="G14" i="1"/>
  <c r="D12" i="1"/>
  <c r="S11" i="1"/>
  <c r="Q11" i="1"/>
  <c r="O11" i="1"/>
  <c r="M11" i="1"/>
  <c r="M12" i="1" s="1"/>
  <c r="I11" i="1"/>
  <c r="G11" i="1"/>
  <c r="F11" i="1"/>
  <c r="P11" i="1" s="1"/>
  <c r="S10" i="1"/>
  <c r="S12" i="1" s="1"/>
  <c r="E10" i="1"/>
  <c r="E12" i="1" s="1"/>
  <c r="I8" i="1"/>
  <c r="E8" i="1"/>
  <c r="D8" i="1"/>
  <c r="S7" i="1"/>
  <c r="K7" i="1"/>
  <c r="H7" i="1"/>
  <c r="F7" i="1"/>
  <c r="J7" i="1" s="1"/>
  <c r="S6" i="1"/>
  <c r="S8" i="1" s="1"/>
  <c r="E6" i="1"/>
  <c r="F6" i="1" s="1"/>
  <c r="Q6" i="1" l="1"/>
  <c r="Q8" i="1" s="1"/>
  <c r="O6" i="1"/>
  <c r="O8" i="1" s="1"/>
  <c r="M6" i="1"/>
  <c r="M8" i="1" s="1"/>
  <c r="K6" i="1"/>
  <c r="K8" i="1" s="1"/>
  <c r="H6" i="1"/>
  <c r="H8" i="1" s="1"/>
  <c r="P6" i="1"/>
  <c r="P8" i="1" s="1"/>
  <c r="L6" i="1"/>
  <c r="L8" i="1" s="1"/>
  <c r="J6" i="1"/>
  <c r="J8" i="1" s="1"/>
  <c r="N6" i="1"/>
  <c r="N8" i="1" s="1"/>
  <c r="G6" i="1"/>
  <c r="G8" i="1" s="1"/>
  <c r="S24" i="1"/>
  <c r="F10" i="1"/>
  <c r="H11" i="1"/>
  <c r="J11" i="1"/>
  <c r="N11" i="1"/>
  <c r="H16" i="1"/>
  <c r="J16" i="1"/>
  <c r="L16" i="1"/>
  <c r="N16" i="1"/>
  <c r="H20" i="1"/>
  <c r="J20" i="1"/>
  <c r="L20" i="1"/>
  <c r="O20" i="1"/>
  <c r="Q10" i="1" l="1"/>
  <c r="Q12" i="1" s="1"/>
  <c r="O10" i="1"/>
  <c r="O12" i="1" s="1"/>
  <c r="L10" i="1"/>
  <c r="L12" i="1" s="1"/>
  <c r="J10" i="1"/>
  <c r="J12" i="1" s="1"/>
  <c r="H10" i="1"/>
  <c r="H12" i="1" s="1"/>
  <c r="F12" i="1"/>
  <c r="N10" i="1"/>
  <c r="N12" i="1" s="1"/>
  <c r="I10" i="1"/>
  <c r="I12" i="1" s="1"/>
  <c r="P10" i="1"/>
  <c r="P12" i="1" s="1"/>
  <c r="K10" i="1"/>
  <c r="K12" i="1" s="1"/>
  <c r="G10" i="1"/>
  <c r="G12" i="1" s="1"/>
</calcChain>
</file>

<file path=xl/sharedStrings.xml><?xml version="1.0" encoding="utf-8"?>
<sst xmlns="http://schemas.openxmlformats.org/spreadsheetml/2006/main" count="41" uniqueCount="35">
  <si>
    <t>меню для школьников за сентябрь  2021 год</t>
  </si>
  <si>
    <t>январь</t>
  </si>
  <si>
    <t>Наименование блюда</t>
  </si>
  <si>
    <t xml:space="preserve"> всего грамм</t>
  </si>
  <si>
    <t>отх</t>
  </si>
  <si>
    <t>нетто</t>
  </si>
  <si>
    <t>Белки</t>
  </si>
  <si>
    <t>Жиры</t>
  </si>
  <si>
    <t>Углеводы</t>
  </si>
  <si>
    <t>э/ц ккл</t>
  </si>
  <si>
    <t>Витамины, мг на 100 г</t>
  </si>
  <si>
    <t>Минеральные в-ва</t>
  </si>
  <si>
    <t>цена</t>
  </si>
  <si>
    <t>сумма</t>
  </si>
  <si>
    <t>В1</t>
  </si>
  <si>
    <t>С</t>
  </si>
  <si>
    <t>А</t>
  </si>
  <si>
    <t>Са</t>
  </si>
  <si>
    <t>Р</t>
  </si>
  <si>
    <t>Mg</t>
  </si>
  <si>
    <t>Fe</t>
  </si>
  <si>
    <t>21.01.2022г</t>
  </si>
  <si>
    <t>1.рыба запеченная</t>
  </si>
  <si>
    <t xml:space="preserve">рыба </t>
  </si>
  <si>
    <t>растит. масло</t>
  </si>
  <si>
    <t>итого</t>
  </si>
  <si>
    <t>2.картофельное пюре</t>
  </si>
  <si>
    <t>картофель</t>
  </si>
  <si>
    <t>масло сливочное</t>
  </si>
  <si>
    <t>3.хлеб</t>
  </si>
  <si>
    <t>4.чай</t>
  </si>
  <si>
    <t>чай</t>
  </si>
  <si>
    <t>сахар</t>
  </si>
  <si>
    <t>6.яблоки</t>
  </si>
  <si>
    <t>6.соль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</si>
</sst>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b/>
      <sz val="14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6"/>
      <color indexed="8"/>
      <name val="Calibri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6">
    <xf numFmtId="0" fontId="0" fillId="0" borderId="0" xfId="0"/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3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 wrapText="1"/>
    </xf>
    <xf numFmtId="0" fontId="2" fillId="2" borderId="2" xfId="1" applyNumberFormat="1" applyFont="1" applyFill="1" applyBorder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5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5" fillId="0" borderId="5" xfId="1" applyNumberFormat="1" applyFont="1" applyFill="1" applyBorder="1" applyAlignment="1" applyProtection="1">
      <alignment horizontal="center" vertical="center" wrapText="1"/>
    </xf>
    <xf numFmtId="0" fontId="2" fillId="2" borderId="5" xfId="1" applyNumberFormat="1" applyFont="1" applyFill="1" applyBorder="1" applyAlignment="1" applyProtection="1">
      <alignment horizontal="center" vertical="center"/>
    </xf>
    <xf numFmtId="0" fontId="2" fillId="0" borderId="5" xfId="1" applyNumberFormat="1" applyFont="1" applyFill="1" applyBorder="1" applyAlignment="1" applyProtection="1">
      <alignment horizontal="center" vertical="center"/>
    </xf>
    <xf numFmtId="0" fontId="5" fillId="0" borderId="5" xfId="1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2" borderId="3" xfId="0" applyFont="1" applyFill="1" applyBorder="1" applyAlignment="1"/>
    <xf numFmtId="0" fontId="6" fillId="0" borderId="3" xfId="1" applyNumberFormat="1" applyFont="1" applyFill="1" applyBorder="1" applyAlignment="1" applyProtection="1">
      <alignment horizontal="left" vertical="center" wrapText="1"/>
    </xf>
    <xf numFmtId="0" fontId="5" fillId="0" borderId="4" xfId="1" applyNumberFormat="1" applyFont="1" applyFill="1" applyBorder="1" applyAlignment="1" applyProtection="1">
      <alignment horizontal="center" vertical="center" wrapText="1"/>
    </xf>
    <xf numFmtId="0" fontId="2" fillId="2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5" fillId="0" borderId="4" xfId="1" applyNumberFormat="1" applyFont="1" applyFill="1" applyBorder="1" applyAlignment="1" applyProtection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2" borderId="3" xfId="0" applyFont="1" applyFill="1" applyBorder="1" applyAlignment="1"/>
    <xf numFmtId="0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7" xfId="1" applyNumberFormat="1" applyFont="1" applyFill="1" applyBorder="1" applyAlignment="1" applyProtection="1">
      <alignment horizontal="center" vertical="center" wrapText="1"/>
    </xf>
    <xf numFmtId="0" fontId="8" fillId="0" borderId="8" xfId="1" applyNumberFormat="1" applyFont="1" applyFill="1" applyBorder="1" applyAlignment="1" applyProtection="1">
      <alignment horizontal="center" vertical="center" wrapText="1"/>
    </xf>
    <xf numFmtId="1" fontId="9" fillId="0" borderId="3" xfId="0" applyNumberFormat="1" applyFont="1" applyBorder="1"/>
    <xf numFmtId="0" fontId="10" fillId="2" borderId="3" xfId="1" applyNumberFormat="1" applyFont="1" applyFill="1" applyBorder="1" applyAlignment="1" applyProtection="1">
      <alignment vertical="center" wrapText="1"/>
    </xf>
    <xf numFmtId="2" fontId="0" fillId="0" borderId="3" xfId="0" applyNumberFormat="1" applyBorder="1"/>
    <xf numFmtId="164" fontId="0" fillId="0" borderId="3" xfId="0" applyNumberFormat="1" applyBorder="1"/>
    <xf numFmtId="0" fontId="0" fillId="0" borderId="3" xfId="0" applyBorder="1"/>
    <xf numFmtId="0" fontId="6" fillId="0" borderId="3" xfId="1" applyNumberFormat="1" applyFont="1" applyFill="1" applyBorder="1" applyAlignment="1" applyProtection="1">
      <alignment horizontal="left" vertical="top" wrapText="1"/>
    </xf>
    <xf numFmtId="2" fontId="11" fillId="0" borderId="3" xfId="0" applyNumberFormat="1" applyFont="1" applyBorder="1"/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1" fontId="1" fillId="0" borderId="3" xfId="0" applyNumberFormat="1" applyFont="1" applyBorder="1"/>
    <xf numFmtId="2" fontId="12" fillId="0" borderId="3" xfId="0" applyNumberFormat="1" applyFont="1" applyBorder="1"/>
    <xf numFmtId="2" fontId="13" fillId="0" borderId="3" xfId="0" applyNumberFormat="1" applyFont="1" applyBorder="1"/>
    <xf numFmtId="2" fontId="14" fillId="0" borderId="6" xfId="0" applyNumberFormat="1" applyFon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9" fillId="0" borderId="3" xfId="0" applyNumberFormat="1" applyFont="1" applyBorder="1"/>
    <xf numFmtId="1" fontId="15" fillId="0" borderId="3" xfId="0" applyNumberFormat="1" applyFont="1" applyBorder="1"/>
    <xf numFmtId="2" fontId="16" fillId="0" borderId="6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/>
    </xf>
    <xf numFmtId="2" fontId="17" fillId="0" borderId="8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2" fontId="14" fillId="0" borderId="8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2" fontId="13" fillId="0" borderId="7" xfId="0" applyNumberFormat="1" applyFont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164" fontId="13" fillId="0" borderId="3" xfId="0" applyNumberFormat="1" applyFont="1" applyBorder="1"/>
    <xf numFmtId="2" fontId="18" fillId="0" borderId="3" xfId="0" applyNumberFormat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4"/>
  <sheetViews>
    <sheetView tabSelected="1" workbookViewId="0">
      <selection activeCell="U4" sqref="U4"/>
    </sheetView>
  </sheetViews>
  <sheetFormatPr defaultRowHeight="15" x14ac:dyDescent="0.25"/>
  <sheetData>
    <row r="1" spans="2:19" ht="18.75" x14ac:dyDescent="0.3">
      <c r="B1" s="1"/>
      <c r="C1" s="2"/>
      <c r="D1" s="2"/>
      <c r="E1" s="2"/>
      <c r="F1" s="2" t="s">
        <v>0</v>
      </c>
      <c r="G1" s="2" t="s">
        <v>1</v>
      </c>
      <c r="H1" s="2">
        <v>2022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2:19" ht="18.75" x14ac:dyDescent="0.25">
      <c r="B2" s="3"/>
      <c r="C2" s="4" t="s">
        <v>2</v>
      </c>
      <c r="D2" s="5" t="s">
        <v>3</v>
      </c>
      <c r="E2" s="6" t="s">
        <v>4</v>
      </c>
      <c r="F2" s="6" t="s">
        <v>5</v>
      </c>
      <c r="G2" s="7" t="s">
        <v>6</v>
      </c>
      <c r="H2" s="7" t="s">
        <v>7</v>
      </c>
      <c r="I2" s="8" t="s">
        <v>8</v>
      </c>
      <c r="J2" s="7" t="s">
        <v>9</v>
      </c>
      <c r="K2" s="9" t="s">
        <v>10</v>
      </c>
      <c r="L2" s="9"/>
      <c r="M2" s="9"/>
      <c r="N2" s="9" t="s">
        <v>11</v>
      </c>
      <c r="O2" s="9"/>
      <c r="P2" s="9"/>
      <c r="Q2" s="9"/>
      <c r="R2" s="7" t="s">
        <v>12</v>
      </c>
      <c r="S2" s="10" t="s">
        <v>13</v>
      </c>
    </row>
    <row r="3" spans="2:19" x14ac:dyDescent="0.25">
      <c r="B3" s="11"/>
      <c r="C3" s="4"/>
      <c r="D3" s="12"/>
      <c r="E3" s="13"/>
      <c r="F3" s="13"/>
      <c r="G3" s="14"/>
      <c r="H3" s="14"/>
      <c r="I3" s="15"/>
      <c r="J3" s="14"/>
      <c r="K3" s="7" t="s">
        <v>14</v>
      </c>
      <c r="L3" s="6" t="s">
        <v>15</v>
      </c>
      <c r="M3" s="7" t="s">
        <v>16</v>
      </c>
      <c r="N3" s="7" t="s">
        <v>17</v>
      </c>
      <c r="O3" s="7" t="s">
        <v>18</v>
      </c>
      <c r="P3" s="7" t="s">
        <v>19</v>
      </c>
      <c r="Q3" s="7" t="s">
        <v>20</v>
      </c>
      <c r="R3" s="14"/>
      <c r="S3" s="16"/>
    </row>
    <row r="4" spans="2:19" ht="37.5" x14ac:dyDescent="0.3">
      <c r="B4" s="17"/>
      <c r="C4" s="18" t="s">
        <v>21</v>
      </c>
      <c r="D4" s="19"/>
      <c r="E4" s="20"/>
      <c r="F4" s="20"/>
      <c r="G4" s="21"/>
      <c r="H4" s="21"/>
      <c r="I4" s="22"/>
      <c r="J4" s="21"/>
      <c r="K4" s="21"/>
      <c r="L4" s="20"/>
      <c r="M4" s="21"/>
      <c r="N4" s="21"/>
      <c r="O4" s="21"/>
      <c r="P4" s="21"/>
      <c r="Q4" s="21"/>
      <c r="R4" s="21"/>
      <c r="S4" s="23"/>
    </row>
    <row r="5" spans="2:19" ht="21" x14ac:dyDescent="0.35">
      <c r="B5" s="24"/>
      <c r="C5" s="25" t="s">
        <v>22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7"/>
    </row>
    <row r="6" spans="2:19" ht="18.75" x14ac:dyDescent="0.3">
      <c r="B6" s="28"/>
      <c r="C6" s="29" t="s">
        <v>23</v>
      </c>
      <c r="D6" s="30">
        <v>90</v>
      </c>
      <c r="E6" s="30">
        <f>D6*20%</f>
        <v>18</v>
      </c>
      <c r="F6" s="30">
        <f>D6-E6</f>
        <v>72</v>
      </c>
      <c r="G6" s="30">
        <f>F6*18%</f>
        <v>12.959999999999999</v>
      </c>
      <c r="H6" s="30">
        <f>F6*13.2%</f>
        <v>9.5040000000000013</v>
      </c>
      <c r="I6" s="30">
        <v>0</v>
      </c>
      <c r="J6" s="30">
        <f>F6*191%</f>
        <v>137.51999999999998</v>
      </c>
      <c r="K6" s="30">
        <f>F6*0.12%</f>
        <v>8.6399999999999991E-2</v>
      </c>
      <c r="L6" s="30">
        <f>F6*1.2%</f>
        <v>0.86399999999999999</v>
      </c>
      <c r="M6" s="30">
        <f>F6*0.01%</f>
        <v>7.2000000000000007E-3</v>
      </c>
      <c r="N6" s="30">
        <f>F6*40%</f>
        <v>28.8</v>
      </c>
      <c r="O6" s="30">
        <f>F6*280%</f>
        <v>201.6</v>
      </c>
      <c r="P6" s="30">
        <f>F6*50%</f>
        <v>36</v>
      </c>
      <c r="Q6" s="30">
        <f>F6*1.7%</f>
        <v>1.2240000000000002</v>
      </c>
      <c r="R6" s="30">
        <v>250</v>
      </c>
      <c r="S6" s="30">
        <f>D6/1000*R6</f>
        <v>22.5</v>
      </c>
    </row>
    <row r="7" spans="2:19" ht="31.5" x14ac:dyDescent="0.3">
      <c r="B7" s="28"/>
      <c r="C7" s="29" t="s">
        <v>24</v>
      </c>
      <c r="D7" s="30">
        <v>10</v>
      </c>
      <c r="E7" s="30">
        <v>0</v>
      </c>
      <c r="F7" s="30">
        <f>D7-E7</f>
        <v>10</v>
      </c>
      <c r="G7" s="30">
        <v>0</v>
      </c>
      <c r="H7" s="31">
        <f>F7*99.9%</f>
        <v>9.990000000000002</v>
      </c>
      <c r="I7" s="30">
        <v>0</v>
      </c>
      <c r="J7" s="30">
        <f>F7*8.99%</f>
        <v>0.89900000000000002</v>
      </c>
      <c r="K7" s="30">
        <f>F7*0.06%</f>
        <v>5.9999999999999993E-3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0</v>
      </c>
      <c r="R7" s="30">
        <v>145</v>
      </c>
      <c r="S7" s="32">
        <f>D7/1000*R7</f>
        <v>1.45</v>
      </c>
    </row>
    <row r="8" spans="2:19" ht="18.75" x14ac:dyDescent="0.3">
      <c r="B8" s="28"/>
      <c r="C8" s="33" t="s">
        <v>25</v>
      </c>
      <c r="D8" s="34">
        <f>SUM(D6:D7)</f>
        <v>100</v>
      </c>
      <c r="E8" s="34">
        <f>SUM(E7:E7)</f>
        <v>0</v>
      </c>
      <c r="F8" s="34">
        <v>59</v>
      </c>
      <c r="G8" s="34">
        <f t="shared" ref="G8:Q8" si="0">SUM(G6:G7)</f>
        <v>12.959999999999999</v>
      </c>
      <c r="H8" s="34">
        <f t="shared" si="0"/>
        <v>19.494000000000003</v>
      </c>
      <c r="I8" s="34">
        <f t="shared" si="0"/>
        <v>0</v>
      </c>
      <c r="J8" s="34">
        <f t="shared" si="0"/>
        <v>138.41899999999998</v>
      </c>
      <c r="K8" s="34">
        <f t="shared" si="0"/>
        <v>9.2399999999999996E-2</v>
      </c>
      <c r="L8" s="34">
        <f t="shared" si="0"/>
        <v>0.86399999999999999</v>
      </c>
      <c r="M8" s="34">
        <f t="shared" si="0"/>
        <v>7.2000000000000007E-3</v>
      </c>
      <c r="N8" s="34">
        <f t="shared" si="0"/>
        <v>28.8</v>
      </c>
      <c r="O8" s="34">
        <f t="shared" si="0"/>
        <v>201.6</v>
      </c>
      <c r="P8" s="34">
        <f t="shared" si="0"/>
        <v>36</v>
      </c>
      <c r="Q8" s="34">
        <f t="shared" si="0"/>
        <v>1.2240000000000002</v>
      </c>
      <c r="R8" s="34"/>
      <c r="S8" s="34">
        <f t="shared" ref="S8" si="1">SUM(S6:S7)</f>
        <v>23.95</v>
      </c>
    </row>
    <row r="9" spans="2:19" ht="21" x14ac:dyDescent="0.35">
      <c r="B9" s="35" t="s">
        <v>26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7"/>
    </row>
    <row r="10" spans="2:19" ht="18.75" x14ac:dyDescent="0.3">
      <c r="B10" s="38"/>
      <c r="C10" s="32" t="s">
        <v>27</v>
      </c>
      <c r="D10" s="30">
        <v>160</v>
      </c>
      <c r="E10" s="30">
        <f>D10*0.25</f>
        <v>40</v>
      </c>
      <c r="F10" s="30">
        <f>D10-E10</f>
        <v>120</v>
      </c>
      <c r="G10" s="30">
        <f>F10*2%</f>
        <v>2.4</v>
      </c>
      <c r="H10" s="30">
        <f>F10*0.4%</f>
        <v>0.48</v>
      </c>
      <c r="I10" s="30">
        <f>F10*16.3%</f>
        <v>19.560000000000002</v>
      </c>
      <c r="J10" s="30">
        <f>F10*80%</f>
        <v>96</v>
      </c>
      <c r="K10" s="30">
        <f>F10*0.12%</f>
        <v>0.14399999999999999</v>
      </c>
      <c r="L10" s="30">
        <f>F10*20%</f>
        <v>24</v>
      </c>
      <c r="M10" s="30">
        <v>0</v>
      </c>
      <c r="N10" s="30">
        <f>F10*10%</f>
        <v>12</v>
      </c>
      <c r="O10" s="30">
        <f>F10*58%</f>
        <v>69.599999999999994</v>
      </c>
      <c r="P10" s="30">
        <f>F10*23%</f>
        <v>27.6</v>
      </c>
      <c r="Q10" s="30">
        <f>F10*0.9%</f>
        <v>1.08</v>
      </c>
      <c r="R10" s="30">
        <v>50</v>
      </c>
      <c r="S10" s="30">
        <f>D10/1000*R10</f>
        <v>8</v>
      </c>
    </row>
    <row r="11" spans="2:19" ht="18.75" x14ac:dyDescent="0.3">
      <c r="B11" s="38"/>
      <c r="C11" s="32" t="s">
        <v>28</v>
      </c>
      <c r="D11" s="30">
        <v>15</v>
      </c>
      <c r="E11" s="30">
        <v>0</v>
      </c>
      <c r="F11" s="30">
        <f>D11-E11</f>
        <v>15</v>
      </c>
      <c r="G11" s="30">
        <f>F11*0.5%</f>
        <v>7.4999999999999997E-2</v>
      </c>
      <c r="H11" s="30">
        <f>F11*82.5%</f>
        <v>12.375</v>
      </c>
      <c r="I11" s="30">
        <f>F11*0.8%</f>
        <v>0.12</v>
      </c>
      <c r="J11" s="30">
        <f>F11*748%</f>
        <v>112.2</v>
      </c>
      <c r="K11" s="30">
        <v>0</v>
      </c>
      <c r="L11" s="30">
        <v>0</v>
      </c>
      <c r="M11" s="30">
        <f>F11*0.59%</f>
        <v>8.8499999999999995E-2</v>
      </c>
      <c r="N11" s="30">
        <f>F11*12%</f>
        <v>1.7999999999999998</v>
      </c>
      <c r="O11" s="30">
        <f>F11*19%</f>
        <v>2.85</v>
      </c>
      <c r="P11" s="30">
        <f>F11*0.4%</f>
        <v>0.06</v>
      </c>
      <c r="Q11" s="30">
        <f>F11*0.2%</f>
        <v>0.03</v>
      </c>
      <c r="R11" s="30">
        <v>635</v>
      </c>
      <c r="S11" s="39">
        <f>D11/1000*R11</f>
        <v>9.5250000000000004</v>
      </c>
    </row>
    <row r="12" spans="2:19" ht="18.75" x14ac:dyDescent="0.3">
      <c r="B12" s="38"/>
      <c r="C12" s="33" t="s">
        <v>25</v>
      </c>
      <c r="D12" s="40">
        <f t="shared" ref="D12:Q12" si="2">SUM(D10:D11)</f>
        <v>175</v>
      </c>
      <c r="E12" s="40">
        <f t="shared" si="2"/>
        <v>40</v>
      </c>
      <c r="F12" s="40">
        <f t="shared" si="2"/>
        <v>135</v>
      </c>
      <c r="G12" s="40">
        <f t="shared" si="2"/>
        <v>2.4750000000000001</v>
      </c>
      <c r="H12" s="40">
        <f t="shared" si="2"/>
        <v>12.855</v>
      </c>
      <c r="I12" s="40">
        <f t="shared" si="2"/>
        <v>19.680000000000003</v>
      </c>
      <c r="J12" s="40">
        <f t="shared" si="2"/>
        <v>208.2</v>
      </c>
      <c r="K12" s="40">
        <f t="shared" si="2"/>
        <v>0.14399999999999999</v>
      </c>
      <c r="L12" s="40">
        <f t="shared" si="2"/>
        <v>24</v>
      </c>
      <c r="M12" s="40">
        <f t="shared" si="2"/>
        <v>8.8499999999999995E-2</v>
      </c>
      <c r="N12" s="40">
        <f t="shared" si="2"/>
        <v>13.8</v>
      </c>
      <c r="O12" s="40">
        <f t="shared" si="2"/>
        <v>72.449999999999989</v>
      </c>
      <c r="P12" s="40">
        <f t="shared" si="2"/>
        <v>27.66</v>
      </c>
      <c r="Q12" s="40">
        <f t="shared" si="2"/>
        <v>1.1100000000000001</v>
      </c>
      <c r="R12" s="40"/>
      <c r="S12" s="40">
        <f>SUM(S10:S11)</f>
        <v>17.524999999999999</v>
      </c>
    </row>
    <row r="13" spans="2:19" ht="21" x14ac:dyDescent="0.35">
      <c r="B13" s="28"/>
      <c r="C13" s="41" t="s">
        <v>29</v>
      </c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3"/>
    </row>
    <row r="14" spans="2:19" ht="18.75" x14ac:dyDescent="0.3">
      <c r="B14" s="28"/>
      <c r="C14" s="44" t="s">
        <v>25</v>
      </c>
      <c r="D14" s="40">
        <v>50</v>
      </c>
      <c r="E14" s="40">
        <v>0</v>
      </c>
      <c r="F14" s="40">
        <v>50</v>
      </c>
      <c r="G14" s="40">
        <f>F14*7.9%</f>
        <v>3.95</v>
      </c>
      <c r="H14" s="40">
        <f>F14*1%</f>
        <v>0.5</v>
      </c>
      <c r="I14" s="40">
        <f>F14*48.1%</f>
        <v>24.05</v>
      </c>
      <c r="J14" s="40">
        <f>F14*239%</f>
        <v>119.5</v>
      </c>
      <c r="K14" s="40">
        <f>F14*0.16%</f>
        <v>0.08</v>
      </c>
      <c r="L14" s="40">
        <v>0</v>
      </c>
      <c r="M14" s="40">
        <v>0</v>
      </c>
      <c r="N14" s="40">
        <f>F14*23%</f>
        <v>11.5</v>
      </c>
      <c r="O14" s="40">
        <f>F14*87%</f>
        <v>43.5</v>
      </c>
      <c r="P14" s="40">
        <f>F14*33%</f>
        <v>16.5</v>
      </c>
      <c r="Q14" s="40">
        <f>F14*2%</f>
        <v>1</v>
      </c>
      <c r="R14" s="40">
        <v>50</v>
      </c>
      <c r="S14" s="40">
        <f>D14/1000*50</f>
        <v>2.5</v>
      </c>
    </row>
    <row r="15" spans="2:19" ht="21" x14ac:dyDescent="0.35">
      <c r="B15" s="45"/>
      <c r="C15" s="46" t="s">
        <v>30</v>
      </c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8"/>
    </row>
    <row r="16" spans="2:19" ht="18.75" x14ac:dyDescent="0.3">
      <c r="B16" s="28"/>
      <c r="C16" s="30" t="s">
        <v>31</v>
      </c>
      <c r="D16" s="30">
        <v>1</v>
      </c>
      <c r="E16" s="30">
        <v>0</v>
      </c>
      <c r="F16" s="30">
        <f>D16-E16</f>
        <v>1</v>
      </c>
      <c r="G16" s="30">
        <f>F16*21.74%</f>
        <v>0.21739999999999998</v>
      </c>
      <c r="H16" s="30">
        <f>F16*7.61%</f>
        <v>7.6100000000000001E-2</v>
      </c>
      <c r="I16" s="30">
        <f>F16*2.86%</f>
        <v>2.86E-2</v>
      </c>
      <c r="J16" s="30">
        <f>F16*9.18%</f>
        <v>9.1799999999999993E-2</v>
      </c>
      <c r="K16" s="30">
        <f>F16*4.7%</f>
        <v>4.7E-2</v>
      </c>
      <c r="L16" s="30">
        <f>F16*11%</f>
        <v>0.11</v>
      </c>
      <c r="M16" s="30">
        <f>F16*5.6%</f>
        <v>5.5999999999999994E-2</v>
      </c>
      <c r="N16" s="30">
        <f>F16*50%</f>
        <v>0.5</v>
      </c>
      <c r="O16" s="30">
        <f>F16*10%</f>
        <v>0.1</v>
      </c>
      <c r="P16" s="30">
        <f>F16*110%</f>
        <v>1.1000000000000001</v>
      </c>
      <c r="Q16" s="30">
        <f>F16*456%</f>
        <v>4.5599999999999996</v>
      </c>
      <c r="R16" s="30">
        <v>650</v>
      </c>
      <c r="S16" s="30">
        <f>D16/1000*R16</f>
        <v>0.65</v>
      </c>
    </row>
    <row r="17" spans="2:19" ht="18.75" x14ac:dyDescent="0.3">
      <c r="B17" s="38"/>
      <c r="C17" s="30" t="s">
        <v>32</v>
      </c>
      <c r="D17" s="30">
        <v>15</v>
      </c>
      <c r="E17" s="30">
        <v>0</v>
      </c>
      <c r="F17" s="30">
        <v>15</v>
      </c>
      <c r="G17" s="30">
        <v>0</v>
      </c>
      <c r="H17" s="30">
        <v>0</v>
      </c>
      <c r="I17" s="30">
        <f>F17*99.8%</f>
        <v>14.97</v>
      </c>
      <c r="J17" s="30">
        <f>F17*379%</f>
        <v>56.85</v>
      </c>
      <c r="K17" s="30">
        <v>0</v>
      </c>
      <c r="L17" s="30">
        <v>0</v>
      </c>
      <c r="M17" s="30">
        <v>0</v>
      </c>
      <c r="N17" s="30">
        <f>F17*2%</f>
        <v>0.3</v>
      </c>
      <c r="O17" s="30">
        <v>0</v>
      </c>
      <c r="P17" s="30">
        <v>0</v>
      </c>
      <c r="Q17" s="30">
        <f>F17*0.3%</f>
        <v>4.4999999999999998E-2</v>
      </c>
      <c r="R17" s="30">
        <v>60</v>
      </c>
      <c r="S17" s="30">
        <f>D17/1000*60</f>
        <v>0.89999999999999991</v>
      </c>
    </row>
    <row r="18" spans="2:19" ht="18.75" x14ac:dyDescent="0.3">
      <c r="B18" s="38"/>
      <c r="C18" s="44" t="s">
        <v>25</v>
      </c>
      <c r="D18" s="40">
        <f>SUM(D16:D17)</f>
        <v>16</v>
      </c>
      <c r="E18" s="40">
        <f>SUM(E17:E17)</f>
        <v>0</v>
      </c>
      <c r="F18" s="40">
        <v>150</v>
      </c>
      <c r="G18" s="40">
        <f t="shared" ref="G18:Q18" si="3">SUM(G17:G17)</f>
        <v>0</v>
      </c>
      <c r="H18" s="40">
        <f t="shared" si="3"/>
        <v>0</v>
      </c>
      <c r="I18" s="40">
        <f t="shared" si="3"/>
        <v>14.97</v>
      </c>
      <c r="J18" s="40">
        <f t="shared" si="3"/>
        <v>56.85</v>
      </c>
      <c r="K18" s="40">
        <f t="shared" si="3"/>
        <v>0</v>
      </c>
      <c r="L18" s="40">
        <f t="shared" si="3"/>
        <v>0</v>
      </c>
      <c r="M18" s="40">
        <f t="shared" si="3"/>
        <v>0</v>
      </c>
      <c r="N18" s="40">
        <f t="shared" si="3"/>
        <v>0.3</v>
      </c>
      <c r="O18" s="40">
        <f t="shared" si="3"/>
        <v>0</v>
      </c>
      <c r="P18" s="40">
        <f t="shared" si="3"/>
        <v>0</v>
      </c>
      <c r="Q18" s="40">
        <f t="shared" si="3"/>
        <v>4.4999999999999998E-2</v>
      </c>
      <c r="R18" s="40"/>
      <c r="S18" s="40">
        <f>SUM(S16:S17)</f>
        <v>1.5499999999999998</v>
      </c>
    </row>
    <row r="19" spans="2:19" ht="21" x14ac:dyDescent="0.35">
      <c r="B19" s="28"/>
      <c r="C19" s="41" t="s">
        <v>33</v>
      </c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50"/>
    </row>
    <row r="20" spans="2:19" ht="18.75" x14ac:dyDescent="0.3">
      <c r="B20" s="28"/>
      <c r="C20" s="44" t="s">
        <v>25</v>
      </c>
      <c r="D20" s="40">
        <v>155</v>
      </c>
      <c r="E20" s="40">
        <v>0</v>
      </c>
      <c r="F20" s="40">
        <f>D20-E20</f>
        <v>155</v>
      </c>
      <c r="G20" s="40">
        <f>F20*0.4%</f>
        <v>0.62</v>
      </c>
      <c r="H20" s="40">
        <f>F20*0.4%</f>
        <v>0.62</v>
      </c>
      <c r="I20" s="40">
        <f>F20*9.8%</f>
        <v>15.190000000000001</v>
      </c>
      <c r="J20" s="40">
        <f>F20*45%</f>
        <v>69.75</v>
      </c>
      <c r="K20" s="40">
        <f>F20*0.03%</f>
        <v>4.6499999999999993E-2</v>
      </c>
      <c r="L20" s="40">
        <f>F20*13%</f>
        <v>20.150000000000002</v>
      </c>
      <c r="M20" s="40">
        <v>0</v>
      </c>
      <c r="N20" s="40">
        <f>F20*16%</f>
        <v>24.8</v>
      </c>
      <c r="O20" s="40">
        <f>F20*11%</f>
        <v>17.05</v>
      </c>
      <c r="P20" s="40">
        <f>F20*9%</f>
        <v>13.95</v>
      </c>
      <c r="Q20" s="40">
        <f>F20*2.2%</f>
        <v>3.41</v>
      </c>
      <c r="R20" s="40">
        <v>100</v>
      </c>
      <c r="S20" s="40">
        <f>D20/1000*R20</f>
        <v>15.5</v>
      </c>
    </row>
    <row r="21" spans="2:19" ht="21" x14ac:dyDescent="0.35">
      <c r="B21" s="38"/>
      <c r="C21" s="51" t="s">
        <v>34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3"/>
    </row>
    <row r="22" spans="2:19" ht="18.75" x14ac:dyDescent="0.3">
      <c r="B22" s="38"/>
      <c r="C22" s="44" t="s">
        <v>25</v>
      </c>
      <c r="D22" s="54">
        <v>3</v>
      </c>
      <c r="E22" s="40">
        <v>0</v>
      </c>
      <c r="F22" s="54">
        <f>D22-E22</f>
        <v>3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10</v>
      </c>
      <c r="S22" s="54">
        <f>D22/1000*R22</f>
        <v>0.03</v>
      </c>
    </row>
    <row r="23" spans="2:19" ht="18.75" x14ac:dyDescent="0.3">
      <c r="B23" s="38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</row>
    <row r="24" spans="2:19" ht="23.25" x14ac:dyDescent="0.35">
      <c r="B24" s="38"/>
      <c r="C24" s="55" t="s">
        <v>25</v>
      </c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>
        <f>S22+S20+S18+S14+S12+S8</f>
        <v>61.054999999999993</v>
      </c>
    </row>
  </sheetData>
  <mergeCells count="26">
    <mergeCell ref="C5:S5"/>
    <mergeCell ref="B9:S9"/>
    <mergeCell ref="C13:S13"/>
    <mergeCell ref="C15:S15"/>
    <mergeCell ref="C19:S19"/>
    <mergeCell ref="C21:S21"/>
    <mergeCell ref="S2:S4"/>
    <mergeCell ref="K3:K4"/>
    <mergeCell ref="L3:L4"/>
    <mergeCell ref="M3:M4"/>
    <mergeCell ref="N3:N4"/>
    <mergeCell ref="O3:O4"/>
    <mergeCell ref="P3:P4"/>
    <mergeCell ref="Q3:Q4"/>
    <mergeCell ref="H2:H4"/>
    <mergeCell ref="I2:I4"/>
    <mergeCell ref="J2:J4"/>
    <mergeCell ref="K2:M2"/>
    <mergeCell ref="N2:Q2"/>
    <mergeCell ref="R2:R4"/>
    <mergeCell ref="B2:B3"/>
    <mergeCell ref="C2:C3"/>
    <mergeCell ref="D2:D4"/>
    <mergeCell ref="E2:E4"/>
    <mergeCell ref="F2:F4"/>
    <mergeCell ref="G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2022-01-22T09:27:33Z</dcterms:modified>
</cp:coreProperties>
</file>