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28" i="1" l="1"/>
  <c r="F28" i="1"/>
  <c r="S26" i="1"/>
  <c r="P26" i="1"/>
  <c r="N26" i="1"/>
  <c r="K26" i="1"/>
  <c r="I26" i="1"/>
  <c r="G26" i="1"/>
  <c r="F26" i="1"/>
  <c r="Q26" i="1" s="1"/>
  <c r="P24" i="1"/>
  <c r="O24" i="1"/>
  <c r="M24" i="1"/>
  <c r="L24" i="1"/>
  <c r="K24" i="1"/>
  <c r="J24" i="1"/>
  <c r="H24" i="1"/>
  <c r="G24" i="1"/>
  <c r="E24" i="1"/>
  <c r="D24" i="1"/>
  <c r="S23" i="1"/>
  <c r="S24" i="1" s="1"/>
  <c r="Q23" i="1"/>
  <c r="Q24" i="1" s="1"/>
  <c r="N23" i="1"/>
  <c r="N24" i="1" s="1"/>
  <c r="J23" i="1"/>
  <c r="I23" i="1"/>
  <c r="I24" i="1" s="1"/>
  <c r="S22" i="1"/>
  <c r="Q22" i="1"/>
  <c r="O22" i="1"/>
  <c r="M22" i="1"/>
  <c r="K22" i="1"/>
  <c r="I22" i="1"/>
  <c r="G22" i="1"/>
  <c r="F22" i="1"/>
  <c r="P22" i="1" s="1"/>
  <c r="S20" i="1"/>
  <c r="F20" i="1"/>
  <c r="D18" i="1"/>
  <c r="S17" i="1"/>
  <c r="Q17" i="1"/>
  <c r="O17" i="1"/>
  <c r="K17" i="1"/>
  <c r="I17" i="1"/>
  <c r="G17" i="1"/>
  <c r="F17" i="1"/>
  <c r="P17" i="1" s="1"/>
  <c r="S16" i="1"/>
  <c r="N16" i="1"/>
  <c r="F16" i="1"/>
  <c r="S15" i="1"/>
  <c r="Q15" i="1"/>
  <c r="O15" i="1"/>
  <c r="M15" i="1"/>
  <c r="M18" i="1" s="1"/>
  <c r="I15" i="1"/>
  <c r="G15" i="1"/>
  <c r="F15" i="1"/>
  <c r="P15" i="1" s="1"/>
  <c r="S14" i="1"/>
  <c r="N14" i="1"/>
  <c r="I14" i="1"/>
  <c r="F14" i="1"/>
  <c r="E14" i="1"/>
  <c r="S13" i="1"/>
  <c r="P13" i="1"/>
  <c r="K13" i="1"/>
  <c r="G13" i="1"/>
  <c r="E13" i="1"/>
  <c r="F13" i="1" s="1"/>
  <c r="S12" i="1"/>
  <c r="F12" i="1"/>
  <c r="Q12" i="1" s="1"/>
  <c r="E12" i="1"/>
  <c r="E18" i="1" s="1"/>
  <c r="S11" i="1"/>
  <c r="S18" i="1" s="1"/>
  <c r="N11" i="1"/>
  <c r="G11" i="1"/>
  <c r="E11" i="1"/>
  <c r="F11" i="1" s="1"/>
  <c r="M9" i="1"/>
  <c r="E9" i="1"/>
  <c r="D9" i="1"/>
  <c r="S8" i="1"/>
  <c r="F8" i="1"/>
  <c r="S7" i="1"/>
  <c r="Q7" i="1"/>
  <c r="L7" i="1"/>
  <c r="H7" i="1"/>
  <c r="F7" i="1"/>
  <c r="E7" i="1"/>
  <c r="S6" i="1"/>
  <c r="J6" i="1"/>
  <c r="F6" i="1"/>
  <c r="S5" i="1"/>
  <c r="S9" i="1" s="1"/>
  <c r="F5" i="1"/>
  <c r="E5" i="1"/>
  <c r="F9" i="1" l="1"/>
  <c r="P5" i="1"/>
  <c r="N5" i="1"/>
  <c r="K5" i="1"/>
  <c r="I5" i="1"/>
  <c r="G5" i="1"/>
  <c r="J5" i="1"/>
  <c r="O5" i="1"/>
  <c r="K8" i="1"/>
  <c r="H8" i="1"/>
  <c r="J12" i="1"/>
  <c r="Q16" i="1"/>
  <c r="O16" i="1"/>
  <c r="L16" i="1"/>
  <c r="J16" i="1"/>
  <c r="G16" i="1"/>
  <c r="K16" i="1"/>
  <c r="P16" i="1"/>
  <c r="Q20" i="1"/>
  <c r="O20" i="1"/>
  <c r="K20" i="1"/>
  <c r="I20" i="1"/>
  <c r="G20" i="1"/>
  <c r="P20" i="1"/>
  <c r="N20" i="1"/>
  <c r="J20" i="1"/>
  <c r="H5" i="1"/>
  <c r="L5" i="1"/>
  <c r="L9" i="1" s="1"/>
  <c r="Q5" i="1"/>
  <c r="Q9" i="1" s="1"/>
  <c r="K6" i="1"/>
  <c r="H6" i="1"/>
  <c r="P7" i="1"/>
  <c r="N7" i="1"/>
  <c r="K7" i="1"/>
  <c r="I7" i="1"/>
  <c r="G7" i="1"/>
  <c r="J7" i="1"/>
  <c r="O7" i="1"/>
  <c r="J8" i="1"/>
  <c r="Q11" i="1"/>
  <c r="O11" i="1"/>
  <c r="K11" i="1"/>
  <c r="H11" i="1"/>
  <c r="J11" i="1"/>
  <c r="P11" i="1"/>
  <c r="H12" i="1"/>
  <c r="L12" i="1"/>
  <c r="Q13" i="1"/>
  <c r="Q18" i="1" s="1"/>
  <c r="O13" i="1"/>
  <c r="L13" i="1"/>
  <c r="J13" i="1"/>
  <c r="H13" i="1"/>
  <c r="I13" i="1"/>
  <c r="N13" i="1"/>
  <c r="Q14" i="1"/>
  <c r="O14" i="1"/>
  <c r="L14" i="1"/>
  <c r="J14" i="1"/>
  <c r="G14" i="1"/>
  <c r="K14" i="1"/>
  <c r="P14" i="1"/>
  <c r="I16" i="1"/>
  <c r="H20" i="1"/>
  <c r="P12" i="1"/>
  <c r="P18" i="1" s="1"/>
  <c r="N12" i="1"/>
  <c r="K12" i="1"/>
  <c r="K18" i="1" s="1"/>
  <c r="I12" i="1"/>
  <c r="I18" i="1" s="1"/>
  <c r="G12" i="1"/>
  <c r="G18" i="1" s="1"/>
  <c r="O12" i="1"/>
  <c r="O18" i="1" s="1"/>
  <c r="S30" i="1"/>
  <c r="H15" i="1"/>
  <c r="J15" i="1"/>
  <c r="N15" i="1"/>
  <c r="H17" i="1"/>
  <c r="J17" i="1"/>
  <c r="N17" i="1"/>
  <c r="H22" i="1"/>
  <c r="J22" i="1"/>
  <c r="L22" i="1"/>
  <c r="N22" i="1"/>
  <c r="H26" i="1"/>
  <c r="J26" i="1"/>
  <c r="L26" i="1"/>
  <c r="O26" i="1"/>
  <c r="N18" i="1" l="1"/>
  <c r="L18" i="1"/>
  <c r="H9" i="1"/>
  <c r="J18" i="1"/>
  <c r="J9" i="1"/>
  <c r="I9" i="1"/>
  <c r="N9" i="1"/>
  <c r="H18" i="1"/>
  <c r="O9" i="1"/>
  <c r="G9" i="1"/>
  <c r="K9" i="1"/>
  <c r="P9" i="1"/>
</calcChain>
</file>

<file path=xl/sharedStrings.xml><?xml version="1.0" encoding="utf-8"?>
<sst xmlns="http://schemas.openxmlformats.org/spreadsheetml/2006/main" count="47" uniqueCount="40">
  <si>
    <t>Наименование блюда</t>
  </si>
  <si>
    <t xml:space="preserve"> 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</si>
  <si>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</si>
  <si>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</si>
  <si>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</si>
  <si>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</si>
  <si>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</si>
  <si>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</si>
  <si>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</si>
  <si>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</si>
  <si>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</si>
  <si>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</si>
  <si>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всего грамм</t>
  </si>
  <si>
    <t>В1</t>
  </si>
  <si>
    <t>С</t>
  </si>
  <si>
    <t>А</t>
  </si>
  <si>
    <t>Са</t>
  </si>
  <si>
    <t>Р</t>
  </si>
  <si>
    <t>Mg</t>
  </si>
  <si>
    <t>Fe</t>
  </si>
  <si>
    <t>22.01.2022г</t>
  </si>
  <si>
    <t xml:space="preserve">1.салат из овощей </t>
  </si>
  <si>
    <t>морковь</t>
  </si>
  <si>
    <t>зел.горох</t>
  </si>
  <si>
    <t>капуста</t>
  </si>
  <si>
    <t>растит. масло</t>
  </si>
  <si>
    <t>итого</t>
  </si>
  <si>
    <t xml:space="preserve">2.суп картофельный с горохом,говядиной </t>
  </si>
  <si>
    <t>мясо говядины</t>
  </si>
  <si>
    <t>картофель</t>
  </si>
  <si>
    <t>лук</t>
  </si>
  <si>
    <t>масло сливочное</t>
  </si>
  <si>
    <t>томат</t>
  </si>
  <si>
    <t>горох зеленый</t>
  </si>
  <si>
    <t>3.хлеб</t>
  </si>
  <si>
    <t>4.чай</t>
  </si>
  <si>
    <t>чай</t>
  </si>
  <si>
    <t>сахар</t>
  </si>
  <si>
    <t>6.яблоки</t>
  </si>
  <si>
    <t>6.соль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</si>
</sst>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1" fontId="1" fillId="0" borderId="1" xfId="0" applyNumberFormat="1" applyFont="1" applyBorder="1"/>
    <xf numFmtId="0" fontId="3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vertical="center" wrapText="1"/>
    </xf>
    <xf numFmtId="0" fontId="5" fillId="2" borderId="2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top" wrapText="1"/>
    </xf>
    <xf numFmtId="0" fontId="5" fillId="2" borderId="3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/>
    </xf>
    <xf numFmtId="0" fontId="9" fillId="0" borderId="2" xfId="1" applyNumberFormat="1" applyFont="1" applyFill="1" applyBorder="1" applyAlignment="1" applyProtection="1">
      <alignment horizontal="left" vertical="top" wrapText="1"/>
    </xf>
    <xf numFmtId="0" fontId="10" fillId="0" borderId="4" xfId="0" applyFont="1" applyBorder="1"/>
    <xf numFmtId="0" fontId="5" fillId="2" borderId="4" xfId="1" applyNumberFormat="1" applyFont="1" applyFill="1" applyBorder="1" applyAlignment="1" applyProtection="1">
      <alignment horizontal="center" vertical="top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/>
    </xf>
    <xf numFmtId="2" fontId="11" fillId="0" borderId="5" xfId="1" applyNumberFormat="1" applyFont="1" applyFill="1" applyBorder="1" applyAlignment="1" applyProtection="1">
      <alignment horizontal="center" vertical="center" wrapText="1"/>
    </xf>
    <xf numFmtId="2" fontId="11" fillId="0" borderId="6" xfId="1" applyNumberFormat="1" applyFont="1" applyFill="1" applyBorder="1" applyAlignment="1" applyProtection="1">
      <alignment horizontal="center" vertical="center" wrapText="1"/>
    </xf>
    <xf numFmtId="2" fontId="11" fillId="0" borderId="7" xfId="1" applyNumberFormat="1" applyFont="1" applyFill="1" applyBorder="1" applyAlignment="1" applyProtection="1">
      <alignment horizontal="center" vertical="center" wrapText="1"/>
    </xf>
    <xf numFmtId="2" fontId="12" fillId="0" borderId="2" xfId="0" applyNumberFormat="1" applyFont="1" applyBorder="1" applyAlignment="1">
      <alignment vertical="center"/>
    </xf>
    <xf numFmtId="2" fontId="12" fillId="2" borderId="1" xfId="1" applyNumberFormat="1" applyFont="1" applyFill="1" applyBorder="1" applyAlignment="1" applyProtection="1">
      <alignment vertical="center" wrapText="1"/>
    </xf>
    <xf numFmtId="2" fontId="13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2" fontId="14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5" fillId="0" borderId="4" xfId="0" applyNumberFormat="1" applyFont="1" applyBorder="1" applyAlignment="1">
      <alignment horizontal="left"/>
    </xf>
    <xf numFmtId="2" fontId="15" fillId="0" borderId="1" xfId="1" applyNumberFormat="1" applyFont="1" applyFill="1" applyBorder="1" applyAlignment="1" applyProtection="1">
      <alignment horizontal="left" wrapText="1"/>
    </xf>
    <xf numFmtId="2" fontId="15" fillId="0" borderId="1" xfId="0" applyNumberFormat="1" applyFont="1" applyBorder="1" applyAlignment="1">
      <alignment horizontal="left"/>
    </xf>
    <xf numFmtId="1" fontId="16" fillId="0" borderId="1" xfId="0" applyNumberFormat="1" applyFont="1" applyBorder="1"/>
    <xf numFmtId="0" fontId="17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horizontal="left" vertical="center"/>
    </xf>
    <xf numFmtId="2" fontId="19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left" vertical="center"/>
    </xf>
    <xf numFmtId="1" fontId="19" fillId="0" borderId="1" xfId="0" applyNumberFormat="1" applyFont="1" applyBorder="1"/>
    <xf numFmtId="2" fontId="20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9" fillId="0" borderId="1" xfId="0" applyNumberFormat="1" applyFont="1" applyBorder="1"/>
    <xf numFmtId="2" fontId="15" fillId="0" borderId="1" xfId="0" applyNumberFormat="1" applyFont="1" applyBorder="1"/>
    <xf numFmtId="2" fontId="21" fillId="0" borderId="1" xfId="0" applyNumberFormat="1" applyFont="1" applyBorder="1"/>
    <xf numFmtId="1" fontId="22" fillId="0" borderId="1" xfId="0" applyNumberFormat="1" applyFont="1" applyBorder="1"/>
    <xf numFmtId="2" fontId="23" fillId="0" borderId="5" xfId="0" applyNumberFormat="1" applyFont="1" applyBorder="1" applyAlignment="1">
      <alignment horizontal="center"/>
    </xf>
    <xf numFmtId="2" fontId="24" fillId="0" borderId="6" xfId="0" applyNumberFormat="1" applyFont="1" applyBorder="1" applyAlignment="1">
      <alignment horizontal="center"/>
    </xf>
    <xf numFmtId="2" fontId="24" fillId="0" borderId="7" xfId="0" applyNumberFormat="1" applyFont="1" applyBorder="1" applyAlignment="1">
      <alignment horizontal="center"/>
    </xf>
    <xf numFmtId="2" fontId="0" fillId="0" borderId="1" xfId="0" applyNumberFormat="1" applyBorder="1"/>
    <xf numFmtId="1" fontId="25" fillId="0" borderId="1" xfId="0" applyNumberFormat="1" applyFont="1" applyBorder="1"/>
    <xf numFmtId="2" fontId="17" fillId="0" borderId="5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27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abSelected="1" workbookViewId="0">
      <selection activeCell="T4" sqref="T4"/>
    </sheetView>
  </sheetViews>
  <sheetFormatPr defaultRowHeight="15" x14ac:dyDescent="0.25"/>
  <sheetData>
    <row r="1" spans="2:19" ht="18.75" x14ac:dyDescent="0.3">
      <c r="B1" s="1"/>
      <c r="C1" s="2" t="s">
        <v>0</v>
      </c>
      <c r="D1" s="3" t="s">
        <v>1</v>
      </c>
      <c r="E1" s="4" t="s">
        <v>2</v>
      </c>
      <c r="F1" s="4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  <c r="L1" s="6"/>
      <c r="M1" s="6"/>
      <c r="N1" s="6" t="s">
        <v>9</v>
      </c>
      <c r="O1" s="6"/>
      <c r="P1" s="6"/>
      <c r="Q1" s="6"/>
      <c r="R1" s="7" t="s">
        <v>10</v>
      </c>
      <c r="S1" s="8" t="s">
        <v>11</v>
      </c>
    </row>
    <row r="2" spans="2:19" ht="18.75" x14ac:dyDescent="0.3">
      <c r="B2" s="1"/>
      <c r="C2" s="2"/>
      <c r="D2" s="9" t="s">
        <v>12</v>
      </c>
      <c r="E2" s="10"/>
      <c r="F2" s="10"/>
      <c r="G2" s="11"/>
      <c r="H2" s="11"/>
      <c r="I2" s="11"/>
      <c r="J2" s="11"/>
      <c r="K2" s="5" t="s">
        <v>13</v>
      </c>
      <c r="L2" s="12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11"/>
      <c r="S2" s="13"/>
    </row>
    <row r="3" spans="2:19" ht="40.5" x14ac:dyDescent="0.3">
      <c r="B3" s="1"/>
      <c r="C3" s="14" t="s">
        <v>20</v>
      </c>
      <c r="D3" s="15"/>
      <c r="E3" s="16"/>
      <c r="F3" s="16"/>
      <c r="G3" s="17"/>
      <c r="H3" s="17"/>
      <c r="I3" s="17"/>
      <c r="J3" s="17"/>
      <c r="K3" s="17"/>
      <c r="L3" s="18"/>
      <c r="M3" s="17"/>
      <c r="N3" s="17"/>
      <c r="O3" s="17"/>
      <c r="P3" s="17"/>
      <c r="Q3" s="17"/>
      <c r="R3" s="17"/>
      <c r="S3" s="19"/>
    </row>
    <row r="4" spans="2:19" ht="21" x14ac:dyDescent="0.25">
      <c r="B4" s="20" t="s">
        <v>21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</row>
    <row r="5" spans="2:19" x14ac:dyDescent="0.25">
      <c r="B5" s="23"/>
      <c r="C5" s="24" t="s">
        <v>22</v>
      </c>
      <c r="D5" s="25">
        <v>15</v>
      </c>
      <c r="E5" s="25">
        <f>D5*0.2</f>
        <v>3</v>
      </c>
      <c r="F5" s="25">
        <f>D5-E5</f>
        <v>12</v>
      </c>
      <c r="G5" s="25">
        <f>F5*1.3%</f>
        <v>0.15600000000000003</v>
      </c>
      <c r="H5" s="25">
        <f>F5*0.001</f>
        <v>1.2E-2</v>
      </c>
      <c r="I5" s="25">
        <f>F5*0.072</f>
        <v>0.86399999999999988</v>
      </c>
      <c r="J5" s="25">
        <f>F5*0.3</f>
        <v>3.5999999999999996</v>
      </c>
      <c r="K5" s="25">
        <f>F5*0.06%</f>
        <v>7.1999999999999998E-3</v>
      </c>
      <c r="L5" s="25">
        <f>F5*5%</f>
        <v>0.60000000000000009</v>
      </c>
      <c r="M5" s="25">
        <v>0</v>
      </c>
      <c r="N5" s="25">
        <f>F5*51%</f>
        <v>6.12</v>
      </c>
      <c r="O5" s="25">
        <f>F5*55%</f>
        <v>6.6000000000000005</v>
      </c>
      <c r="P5" s="25">
        <f>F5*38%</f>
        <v>4.5600000000000005</v>
      </c>
      <c r="Q5" s="25">
        <f>F5*0.7%</f>
        <v>8.3999999999999991E-2</v>
      </c>
      <c r="R5" s="25">
        <v>55</v>
      </c>
      <c r="S5" s="25">
        <f>D5/1000*R5</f>
        <v>0.82499999999999996</v>
      </c>
    </row>
    <row r="6" spans="2:19" ht="30" x14ac:dyDescent="0.25">
      <c r="B6" s="26"/>
      <c r="C6" s="27" t="s">
        <v>23</v>
      </c>
      <c r="D6" s="28">
        <v>10</v>
      </c>
      <c r="E6" s="28">
        <v>0</v>
      </c>
      <c r="F6" s="28">
        <f>D6-E6</f>
        <v>10</v>
      </c>
      <c r="G6" s="28">
        <v>0</v>
      </c>
      <c r="H6" s="28">
        <f>F6*0.999</f>
        <v>9.99</v>
      </c>
      <c r="I6" s="28">
        <v>0</v>
      </c>
      <c r="J6" s="28">
        <f>F6*8.99</f>
        <v>89.9</v>
      </c>
      <c r="K6" s="28">
        <f>F6*0.06%</f>
        <v>5.9999999999999993E-3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58</v>
      </c>
      <c r="S6" s="28">
        <f>D6/1000*R6</f>
        <v>0.57999999999999996</v>
      </c>
    </row>
    <row r="7" spans="2:19" x14ac:dyDescent="0.25">
      <c r="B7" s="26"/>
      <c r="C7" s="24" t="s">
        <v>24</v>
      </c>
      <c r="D7" s="25">
        <v>30</v>
      </c>
      <c r="E7" s="25">
        <f>D7*0.2</f>
        <v>6</v>
      </c>
      <c r="F7" s="25">
        <f>D7-E7</f>
        <v>24</v>
      </c>
      <c r="G7" s="25">
        <f>F7*0.018</f>
        <v>0.43199999999999994</v>
      </c>
      <c r="H7" s="25">
        <f>F7*0.001</f>
        <v>2.4E-2</v>
      </c>
      <c r="I7" s="25">
        <f>F7*0.047</f>
        <v>1.1280000000000001</v>
      </c>
      <c r="J7" s="25">
        <f>F7*0.27</f>
        <v>6.48</v>
      </c>
      <c r="K7" s="25">
        <f>F7*0.03%</f>
        <v>7.1999999999999998E-3</v>
      </c>
      <c r="L7" s="25">
        <f>F7*45%</f>
        <v>10.8</v>
      </c>
      <c r="M7" s="25">
        <v>0</v>
      </c>
      <c r="N7" s="25">
        <f>F7*48%</f>
        <v>11.52</v>
      </c>
      <c r="O7" s="25">
        <f>F7*31%</f>
        <v>7.4399999999999995</v>
      </c>
      <c r="P7" s="25">
        <f>F7*16%</f>
        <v>3.84</v>
      </c>
      <c r="Q7" s="25">
        <f>F7*0.6%</f>
        <v>0.14400000000000002</v>
      </c>
      <c r="R7" s="25">
        <v>25</v>
      </c>
      <c r="S7" s="25">
        <f>D7/1000*R7</f>
        <v>0.75</v>
      </c>
    </row>
    <row r="8" spans="2:19" ht="30" x14ac:dyDescent="0.25">
      <c r="B8" s="26"/>
      <c r="C8" s="24" t="s">
        <v>25</v>
      </c>
      <c r="D8" s="25">
        <v>5</v>
      </c>
      <c r="E8" s="25">
        <v>0</v>
      </c>
      <c r="F8" s="25">
        <f>D8-E8</f>
        <v>5</v>
      </c>
      <c r="G8" s="25">
        <v>0</v>
      </c>
      <c r="H8" s="25">
        <f>F8*0.999</f>
        <v>4.9950000000000001</v>
      </c>
      <c r="I8" s="25">
        <v>0</v>
      </c>
      <c r="J8" s="25">
        <f>F8*8.99%</f>
        <v>0.44950000000000001</v>
      </c>
      <c r="K8" s="25">
        <f>F8*0.06%</f>
        <v>2.9999999999999996E-3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145</v>
      </c>
      <c r="S8" s="25">
        <f>D8/1000*R8</f>
        <v>0.72499999999999998</v>
      </c>
    </row>
    <row r="9" spans="2:19" x14ac:dyDescent="0.25">
      <c r="B9" s="29"/>
      <c r="C9" s="30" t="s">
        <v>26</v>
      </c>
      <c r="D9" s="31">
        <f>SUM(D5:D8)</f>
        <v>60</v>
      </c>
      <c r="E9" s="31">
        <f t="shared" ref="E9:Q9" si="0">SUM(E5:E8)</f>
        <v>9</v>
      </c>
      <c r="F9" s="31">
        <f t="shared" si="0"/>
        <v>51</v>
      </c>
      <c r="G9" s="31">
        <f t="shared" si="0"/>
        <v>0.58799999999999997</v>
      </c>
      <c r="H9" s="31">
        <f t="shared" si="0"/>
        <v>15.021000000000001</v>
      </c>
      <c r="I9" s="31">
        <f t="shared" si="0"/>
        <v>1.992</v>
      </c>
      <c r="J9" s="31">
        <f t="shared" si="0"/>
        <v>100.4295</v>
      </c>
      <c r="K9" s="31">
        <f t="shared" si="0"/>
        <v>2.3400000000000001E-2</v>
      </c>
      <c r="L9" s="31">
        <f t="shared" si="0"/>
        <v>11.4</v>
      </c>
      <c r="M9" s="31">
        <f t="shared" si="0"/>
        <v>0</v>
      </c>
      <c r="N9" s="31">
        <f t="shared" si="0"/>
        <v>17.64</v>
      </c>
      <c r="O9" s="31">
        <f t="shared" si="0"/>
        <v>14.04</v>
      </c>
      <c r="P9" s="31">
        <f t="shared" si="0"/>
        <v>8.4</v>
      </c>
      <c r="Q9" s="31">
        <f t="shared" si="0"/>
        <v>0.22800000000000001</v>
      </c>
      <c r="R9" s="31"/>
      <c r="S9" s="31">
        <f>SUM(S5:S8)</f>
        <v>2.88</v>
      </c>
    </row>
    <row r="10" spans="2:19" ht="21" x14ac:dyDescent="0.35">
      <c r="B10" s="32"/>
      <c r="C10" s="33" t="s">
        <v>27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</row>
    <row r="11" spans="2:19" ht="18.75" x14ac:dyDescent="0.25">
      <c r="B11" s="36"/>
      <c r="C11" s="37" t="s">
        <v>28</v>
      </c>
      <c r="D11" s="38">
        <v>65</v>
      </c>
      <c r="E11" s="38">
        <f>D11*26.4%</f>
        <v>17.16</v>
      </c>
      <c r="F11" s="38">
        <f>SUM(D11-E11)</f>
        <v>47.84</v>
      </c>
      <c r="G11" s="38">
        <f>F11*18.6%</f>
        <v>8.8982400000000013</v>
      </c>
      <c r="H11" s="38">
        <f>F11*16%</f>
        <v>7.6544000000000008</v>
      </c>
      <c r="I11" s="38">
        <v>0</v>
      </c>
      <c r="J11" s="38">
        <f>F11*218%</f>
        <v>104.29120000000002</v>
      </c>
      <c r="K11" s="38">
        <f>F11*0.06%</f>
        <v>2.8704E-2</v>
      </c>
      <c r="L11" s="38">
        <v>0</v>
      </c>
      <c r="M11" s="38">
        <v>0</v>
      </c>
      <c r="N11" s="38">
        <f>F11*9%</f>
        <v>4.3056000000000001</v>
      </c>
      <c r="O11" s="38">
        <f>F11*188%</f>
        <v>89.9392</v>
      </c>
      <c r="P11" s="38">
        <f>F11*22%</f>
        <v>10.524800000000001</v>
      </c>
      <c r="Q11" s="38">
        <f>F11*2.7%</f>
        <v>1.2916800000000002</v>
      </c>
      <c r="R11" s="38">
        <v>390</v>
      </c>
      <c r="S11" s="38">
        <f t="shared" ref="S11:S17" si="1">D11/1000*R11</f>
        <v>25.35</v>
      </c>
    </row>
    <row r="12" spans="2:19" ht="18.75" x14ac:dyDescent="0.25">
      <c r="B12" s="39"/>
      <c r="C12" s="40" t="s">
        <v>29</v>
      </c>
      <c r="D12" s="25">
        <v>45</v>
      </c>
      <c r="E12" s="25">
        <f>D12*0.25</f>
        <v>11.25</v>
      </c>
      <c r="F12" s="25">
        <f>D12-E12</f>
        <v>33.75</v>
      </c>
      <c r="G12" s="25">
        <f>F12*2%</f>
        <v>0.67500000000000004</v>
      </c>
      <c r="H12" s="25">
        <f>F12*0.4%</f>
        <v>0.13500000000000001</v>
      </c>
      <c r="I12" s="25">
        <f>F12*16.3%</f>
        <v>5.5012500000000006</v>
      </c>
      <c r="J12" s="25">
        <f>F12*80%</f>
        <v>27</v>
      </c>
      <c r="K12" s="25">
        <f>F12*0.12%</f>
        <v>4.0499999999999994E-2</v>
      </c>
      <c r="L12" s="25">
        <f>F12*20%</f>
        <v>6.75</v>
      </c>
      <c r="M12" s="25">
        <v>0</v>
      </c>
      <c r="N12" s="25">
        <f>F12*10%</f>
        <v>3.375</v>
      </c>
      <c r="O12" s="25">
        <f>F12*58%</f>
        <v>19.574999999999999</v>
      </c>
      <c r="P12" s="25">
        <f>F12*23%</f>
        <v>7.7625000000000002</v>
      </c>
      <c r="Q12" s="25">
        <f>F12*0.9%</f>
        <v>0.30375000000000002</v>
      </c>
      <c r="R12" s="25">
        <v>50</v>
      </c>
      <c r="S12" s="25">
        <f t="shared" si="1"/>
        <v>2.25</v>
      </c>
    </row>
    <row r="13" spans="2:19" ht="18.75" x14ac:dyDescent="0.25">
      <c r="B13" s="39"/>
      <c r="C13" s="40" t="s">
        <v>22</v>
      </c>
      <c r="D13" s="25">
        <v>15</v>
      </c>
      <c r="E13" s="25">
        <f>D13*0.2</f>
        <v>3</v>
      </c>
      <c r="F13" s="25">
        <f>D13-E13</f>
        <v>12</v>
      </c>
      <c r="G13" s="25">
        <f>F13*1.3%</f>
        <v>0.15600000000000003</v>
      </c>
      <c r="H13" s="41">
        <f>F13*0.001</f>
        <v>1.2E-2</v>
      </c>
      <c r="I13" s="25">
        <f>F13*0.072</f>
        <v>0.86399999999999988</v>
      </c>
      <c r="J13" s="25">
        <f>F13*0.3</f>
        <v>3.5999999999999996</v>
      </c>
      <c r="K13" s="25">
        <f>F13*0.06%</f>
        <v>7.1999999999999998E-3</v>
      </c>
      <c r="L13" s="25">
        <f>F13*5%</f>
        <v>0.60000000000000009</v>
      </c>
      <c r="M13" s="25">
        <v>0</v>
      </c>
      <c r="N13" s="25">
        <f>F13*51%</f>
        <v>6.12</v>
      </c>
      <c r="O13" s="25">
        <f>F13*55%</f>
        <v>6.6000000000000005</v>
      </c>
      <c r="P13" s="25">
        <f>F13*38%</f>
        <v>4.5600000000000005</v>
      </c>
      <c r="Q13" s="25">
        <f>F13*0.7%</f>
        <v>8.3999999999999991E-2</v>
      </c>
      <c r="R13" s="25">
        <v>55</v>
      </c>
      <c r="S13" s="40">
        <f t="shared" si="1"/>
        <v>0.82499999999999996</v>
      </c>
    </row>
    <row r="14" spans="2:19" ht="18.75" x14ac:dyDescent="0.25">
      <c r="B14" s="39"/>
      <c r="C14" s="40" t="s">
        <v>30</v>
      </c>
      <c r="D14" s="25">
        <v>17</v>
      </c>
      <c r="E14" s="25">
        <f>D14*0.16</f>
        <v>2.72</v>
      </c>
      <c r="F14" s="25">
        <f>D14-E14</f>
        <v>14.28</v>
      </c>
      <c r="G14" s="25">
        <f>F14*1.4%</f>
        <v>0.19991999999999996</v>
      </c>
      <c r="H14" s="42">
        <v>0</v>
      </c>
      <c r="I14" s="25">
        <f>F14*9.1%</f>
        <v>1.29948</v>
      </c>
      <c r="J14" s="25">
        <f>F14*41%</f>
        <v>5.8547999999999991</v>
      </c>
      <c r="K14" s="25">
        <f>F14*0.05%</f>
        <v>7.1399999999999996E-3</v>
      </c>
      <c r="L14" s="25">
        <f>F14*10%</f>
        <v>1.4279999999999999</v>
      </c>
      <c r="M14" s="25">
        <v>0</v>
      </c>
      <c r="N14" s="25">
        <f>F14*31%</f>
        <v>4.4268000000000001</v>
      </c>
      <c r="O14" s="25">
        <f>F14*58%</f>
        <v>8.2823999999999991</v>
      </c>
      <c r="P14" s="25">
        <f>F14*14%</f>
        <v>1.9992000000000001</v>
      </c>
      <c r="Q14" s="25">
        <f>F14*0.8%</f>
        <v>0.11423999999999999</v>
      </c>
      <c r="R14" s="25">
        <v>35</v>
      </c>
      <c r="S14" s="25">
        <f t="shared" si="1"/>
        <v>0.59500000000000008</v>
      </c>
    </row>
    <row r="15" spans="2:19" ht="18.75" x14ac:dyDescent="0.25">
      <c r="B15" s="36"/>
      <c r="C15" s="40" t="s">
        <v>31</v>
      </c>
      <c r="D15" s="25">
        <v>10</v>
      </c>
      <c r="E15" s="25">
        <v>0</v>
      </c>
      <c r="F15" s="25">
        <f>D15-E15</f>
        <v>10</v>
      </c>
      <c r="G15" s="25">
        <f>F15*0.5%</f>
        <v>0.05</v>
      </c>
      <c r="H15" s="25">
        <f>F15*82.5%</f>
        <v>8.25</v>
      </c>
      <c r="I15" s="25">
        <f>F15*0.8%</f>
        <v>0.08</v>
      </c>
      <c r="J15" s="25">
        <f>F15*748%</f>
        <v>74.800000000000011</v>
      </c>
      <c r="K15" s="25">
        <v>0</v>
      </c>
      <c r="L15" s="25">
        <v>0</v>
      </c>
      <c r="M15" s="25">
        <f>F15*0.59%</f>
        <v>5.8999999999999997E-2</v>
      </c>
      <c r="N15" s="25">
        <f>F15*12%</f>
        <v>1.2</v>
      </c>
      <c r="O15" s="25">
        <f>F15*19%</f>
        <v>1.9</v>
      </c>
      <c r="P15" s="25">
        <f>F15*0.4%</f>
        <v>0.04</v>
      </c>
      <c r="Q15" s="25">
        <f>F15*0.2%</f>
        <v>0.02</v>
      </c>
      <c r="R15" s="25">
        <v>635</v>
      </c>
      <c r="S15" s="43">
        <f t="shared" si="1"/>
        <v>6.3500000000000005</v>
      </c>
    </row>
    <row r="16" spans="2:19" x14ac:dyDescent="0.25">
      <c r="B16" s="44"/>
      <c r="C16" s="25" t="s">
        <v>32</v>
      </c>
      <c r="D16" s="25">
        <v>5</v>
      </c>
      <c r="E16" s="25">
        <v>0</v>
      </c>
      <c r="F16" s="25">
        <f>SUM(D16:E16)</f>
        <v>5</v>
      </c>
      <c r="G16" s="25">
        <f>F16*1%</f>
        <v>0.05</v>
      </c>
      <c r="H16" s="25">
        <v>0</v>
      </c>
      <c r="I16" s="25">
        <f>F16*3.5%</f>
        <v>0.17500000000000002</v>
      </c>
      <c r="J16" s="25">
        <f>F16*19%</f>
        <v>0.95</v>
      </c>
      <c r="K16" s="25">
        <f>F16*0.03%</f>
        <v>1.4999999999999998E-3</v>
      </c>
      <c r="L16" s="25">
        <f>F16*10%</f>
        <v>0.5</v>
      </c>
      <c r="M16" s="25">
        <v>0</v>
      </c>
      <c r="N16" s="25">
        <f>D16*7%</f>
        <v>0.35000000000000003</v>
      </c>
      <c r="O16" s="25">
        <f>F16*32%</f>
        <v>1.6</v>
      </c>
      <c r="P16" s="25">
        <f>F16*12%</f>
        <v>0.6</v>
      </c>
      <c r="Q16" s="25">
        <f>F16*0.7%</f>
        <v>3.4999999999999996E-2</v>
      </c>
      <c r="R16" s="25">
        <v>110</v>
      </c>
      <c r="S16" s="25">
        <f t="shared" si="1"/>
        <v>0.55000000000000004</v>
      </c>
    </row>
    <row r="17" spans="2:19" ht="18.75" x14ac:dyDescent="0.25">
      <c r="B17" s="39"/>
      <c r="C17" s="40" t="s">
        <v>33</v>
      </c>
      <c r="D17" s="25">
        <v>45</v>
      </c>
      <c r="E17" s="25">
        <v>0</v>
      </c>
      <c r="F17" s="25">
        <f>D17-E17</f>
        <v>45</v>
      </c>
      <c r="G17" s="25">
        <f>F17*23%</f>
        <v>10.35</v>
      </c>
      <c r="H17" s="25">
        <f>F17*1.6%</f>
        <v>0.72</v>
      </c>
      <c r="I17" s="25">
        <f>F17*50.8%</f>
        <v>22.86</v>
      </c>
      <c r="J17" s="25">
        <f>F17*314%</f>
        <v>141.30000000000001</v>
      </c>
      <c r="K17" s="25">
        <f>F17*0.9%</f>
        <v>0.40500000000000003</v>
      </c>
      <c r="L17" s="25">
        <v>0</v>
      </c>
      <c r="M17" s="25">
        <v>0</v>
      </c>
      <c r="N17" s="25">
        <f>F17*89%</f>
        <v>40.049999999999997</v>
      </c>
      <c r="O17" s="25">
        <f>F17*226%</f>
        <v>101.69999999999999</v>
      </c>
      <c r="P17" s="25">
        <f>F17*88%</f>
        <v>39.6</v>
      </c>
      <c r="Q17" s="25">
        <f>F17*7%</f>
        <v>3.1500000000000004</v>
      </c>
      <c r="R17" s="25">
        <v>58</v>
      </c>
      <c r="S17" s="43">
        <f t="shared" si="1"/>
        <v>2.61</v>
      </c>
    </row>
    <row r="18" spans="2:19" ht="18.75" x14ac:dyDescent="0.25">
      <c r="B18" s="45"/>
      <c r="C18" s="46" t="s">
        <v>26</v>
      </c>
      <c r="D18" s="47">
        <f>D17+D15+D14+D13+D12</f>
        <v>132</v>
      </c>
      <c r="E18" s="47">
        <f t="shared" ref="E18:Q18" si="2">SUM(E12:E17)</f>
        <v>16.97</v>
      </c>
      <c r="F18" s="47">
        <v>250</v>
      </c>
      <c r="G18" s="47">
        <f t="shared" si="2"/>
        <v>11.480919999999999</v>
      </c>
      <c r="H18" s="47">
        <f t="shared" si="2"/>
        <v>9.1170000000000009</v>
      </c>
      <c r="I18" s="47">
        <f t="shared" si="2"/>
        <v>30.779730000000001</v>
      </c>
      <c r="J18" s="47">
        <f t="shared" si="2"/>
        <v>253.50480000000005</v>
      </c>
      <c r="K18" s="47">
        <f t="shared" si="2"/>
        <v>0.46134000000000003</v>
      </c>
      <c r="L18" s="47">
        <f t="shared" si="2"/>
        <v>9.2779999999999987</v>
      </c>
      <c r="M18" s="47">
        <f t="shared" si="2"/>
        <v>5.8999999999999997E-2</v>
      </c>
      <c r="N18" s="47">
        <f t="shared" si="2"/>
        <v>55.521799999999999</v>
      </c>
      <c r="O18" s="47">
        <f t="shared" si="2"/>
        <v>139.6574</v>
      </c>
      <c r="P18" s="47">
        <f t="shared" si="2"/>
        <v>54.561700000000002</v>
      </c>
      <c r="Q18" s="47">
        <f t="shared" si="2"/>
        <v>3.7069900000000002</v>
      </c>
      <c r="R18" s="47"/>
      <c r="S18" s="47">
        <f>SUM(S11:S17)</f>
        <v>38.529999999999994</v>
      </c>
    </row>
    <row r="19" spans="2:19" ht="21" x14ac:dyDescent="0.35">
      <c r="B19" s="48"/>
      <c r="C19" s="49" t="s">
        <v>34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</row>
    <row r="20" spans="2:19" ht="18.75" x14ac:dyDescent="0.3">
      <c r="B20" s="48"/>
      <c r="C20" s="52" t="s">
        <v>26</v>
      </c>
      <c r="D20" s="53">
        <v>50</v>
      </c>
      <c r="E20" s="53">
        <v>0</v>
      </c>
      <c r="F20" s="53">
        <f>D20-E20</f>
        <v>50</v>
      </c>
      <c r="G20" s="53">
        <f>F20*7.9%</f>
        <v>3.95</v>
      </c>
      <c r="H20" s="53">
        <f>F20*1%</f>
        <v>0.5</v>
      </c>
      <c r="I20" s="53">
        <f>F20*48.1%</f>
        <v>24.05</v>
      </c>
      <c r="J20" s="53">
        <f>F20*239%</f>
        <v>119.5</v>
      </c>
      <c r="K20" s="53">
        <f>F20*0.16%</f>
        <v>0.08</v>
      </c>
      <c r="L20" s="53">
        <v>0</v>
      </c>
      <c r="M20" s="53">
        <v>0</v>
      </c>
      <c r="N20" s="53">
        <f>F20*23%</f>
        <v>11.5</v>
      </c>
      <c r="O20" s="53">
        <f>F20*87%</f>
        <v>43.5</v>
      </c>
      <c r="P20" s="53">
        <f>F20*33%</f>
        <v>16.5</v>
      </c>
      <c r="Q20" s="53">
        <f>F20*2%</f>
        <v>1</v>
      </c>
      <c r="R20" s="53">
        <v>50</v>
      </c>
      <c r="S20" s="54">
        <f>D20/1000*50</f>
        <v>2.5</v>
      </c>
    </row>
    <row r="21" spans="2:19" ht="21" x14ac:dyDescent="0.35">
      <c r="B21" s="55"/>
      <c r="C21" s="56" t="s">
        <v>35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</row>
    <row r="22" spans="2:19" ht="18.75" x14ac:dyDescent="0.3">
      <c r="B22" s="48"/>
      <c r="C22" s="59" t="s">
        <v>36</v>
      </c>
      <c r="D22" s="59">
        <v>1</v>
      </c>
      <c r="E22" s="59">
        <v>0</v>
      </c>
      <c r="F22" s="59">
        <f>D22-E22</f>
        <v>1</v>
      </c>
      <c r="G22" s="59">
        <f>F22*21.74%</f>
        <v>0.21739999999999998</v>
      </c>
      <c r="H22" s="59">
        <f>F22*7.61%</f>
        <v>7.6100000000000001E-2</v>
      </c>
      <c r="I22" s="59">
        <f>F22*2.86%</f>
        <v>2.86E-2</v>
      </c>
      <c r="J22" s="59">
        <f>F22*9.18%</f>
        <v>9.1799999999999993E-2</v>
      </c>
      <c r="K22" s="59">
        <f>F22*4.7%</f>
        <v>4.7E-2</v>
      </c>
      <c r="L22" s="59">
        <f>F22*11%</f>
        <v>0.11</v>
      </c>
      <c r="M22" s="59">
        <f>F22*5.6%</f>
        <v>5.5999999999999994E-2</v>
      </c>
      <c r="N22" s="59">
        <f>F22*50%</f>
        <v>0.5</v>
      </c>
      <c r="O22" s="59">
        <f>F22*10%</f>
        <v>0.1</v>
      </c>
      <c r="P22" s="59">
        <f>F22*110%</f>
        <v>1.1000000000000001</v>
      </c>
      <c r="Q22" s="59">
        <f>F22*456%</f>
        <v>4.5599999999999996</v>
      </c>
      <c r="R22" s="59">
        <v>650</v>
      </c>
      <c r="S22" s="59">
        <f>D22/1000*R22</f>
        <v>0.65</v>
      </c>
    </row>
    <row r="23" spans="2:19" ht="18.75" x14ac:dyDescent="0.3">
      <c r="B23" s="60"/>
      <c r="C23" s="59" t="s">
        <v>37</v>
      </c>
      <c r="D23" s="59">
        <v>15</v>
      </c>
      <c r="E23" s="59">
        <v>0</v>
      </c>
      <c r="F23" s="59">
        <v>15</v>
      </c>
      <c r="G23" s="59">
        <v>0</v>
      </c>
      <c r="H23" s="59">
        <v>0</v>
      </c>
      <c r="I23" s="59">
        <f>F23*99.8%</f>
        <v>14.97</v>
      </c>
      <c r="J23" s="59">
        <f>F23*379%</f>
        <v>56.85</v>
      </c>
      <c r="K23" s="59">
        <v>0</v>
      </c>
      <c r="L23" s="59">
        <v>0</v>
      </c>
      <c r="M23" s="59">
        <v>0</v>
      </c>
      <c r="N23" s="59">
        <f>F23*2%</f>
        <v>0.3</v>
      </c>
      <c r="O23" s="59">
        <v>0</v>
      </c>
      <c r="P23" s="59">
        <v>0</v>
      </c>
      <c r="Q23" s="59">
        <f>F23*0.3%</f>
        <v>4.4999999999999998E-2</v>
      </c>
      <c r="R23" s="59">
        <v>60</v>
      </c>
      <c r="S23" s="59">
        <f>D23/1000*60</f>
        <v>0.89999999999999991</v>
      </c>
    </row>
    <row r="24" spans="2:19" ht="18.75" x14ac:dyDescent="0.3">
      <c r="B24" s="60"/>
      <c r="C24" s="52" t="s">
        <v>26</v>
      </c>
      <c r="D24" s="53">
        <f>SUM(D22:D23)</f>
        <v>16</v>
      </c>
      <c r="E24" s="53">
        <f>SUM(E23:E23)</f>
        <v>0</v>
      </c>
      <c r="F24" s="53">
        <v>150</v>
      </c>
      <c r="G24" s="53">
        <f t="shared" ref="G24:Q24" si="3">SUM(G23:G23)</f>
        <v>0</v>
      </c>
      <c r="H24" s="53">
        <f t="shared" si="3"/>
        <v>0</v>
      </c>
      <c r="I24" s="53">
        <f t="shared" si="3"/>
        <v>14.97</v>
      </c>
      <c r="J24" s="53">
        <f t="shared" si="3"/>
        <v>56.85</v>
      </c>
      <c r="K24" s="53">
        <f t="shared" si="3"/>
        <v>0</v>
      </c>
      <c r="L24" s="53">
        <f t="shared" si="3"/>
        <v>0</v>
      </c>
      <c r="M24" s="53">
        <f t="shared" si="3"/>
        <v>0</v>
      </c>
      <c r="N24" s="53">
        <f t="shared" si="3"/>
        <v>0.3</v>
      </c>
      <c r="O24" s="53">
        <f t="shared" si="3"/>
        <v>0</v>
      </c>
      <c r="P24" s="53">
        <f t="shared" si="3"/>
        <v>0</v>
      </c>
      <c r="Q24" s="53">
        <f t="shared" si="3"/>
        <v>4.4999999999999998E-2</v>
      </c>
      <c r="R24" s="53"/>
      <c r="S24" s="53">
        <f>SUM(S22:S23)</f>
        <v>1.5499999999999998</v>
      </c>
    </row>
    <row r="25" spans="2:19" ht="21" x14ac:dyDescent="0.35">
      <c r="B25" s="48"/>
      <c r="C25" s="61" t="s">
        <v>38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3"/>
    </row>
    <row r="26" spans="2:19" ht="18.75" x14ac:dyDescent="0.3">
      <c r="B26" s="48"/>
      <c r="C26" s="52" t="s">
        <v>26</v>
      </c>
      <c r="D26" s="53">
        <v>155</v>
      </c>
      <c r="E26" s="53">
        <v>0</v>
      </c>
      <c r="F26" s="53">
        <f>D26-E26</f>
        <v>155</v>
      </c>
      <c r="G26" s="53">
        <f>F26*0.4%</f>
        <v>0.62</v>
      </c>
      <c r="H26" s="53">
        <f>F26*0.4%</f>
        <v>0.62</v>
      </c>
      <c r="I26" s="53">
        <f>F26*9.8%</f>
        <v>15.190000000000001</v>
      </c>
      <c r="J26" s="53">
        <f>F26*45%</f>
        <v>69.75</v>
      </c>
      <c r="K26" s="53">
        <f>F26*0.03%</f>
        <v>4.6499999999999993E-2</v>
      </c>
      <c r="L26" s="53">
        <f>F26*13%</f>
        <v>20.150000000000002</v>
      </c>
      <c r="M26" s="53">
        <v>0</v>
      </c>
      <c r="N26" s="53">
        <f>F26*16%</f>
        <v>24.8</v>
      </c>
      <c r="O26" s="53">
        <f>F26*11%</f>
        <v>17.05</v>
      </c>
      <c r="P26" s="53">
        <f>F26*9%</f>
        <v>13.95</v>
      </c>
      <c r="Q26" s="53">
        <f>F26*2.2%</f>
        <v>3.41</v>
      </c>
      <c r="R26" s="53">
        <v>100</v>
      </c>
      <c r="S26" s="53">
        <f>D26/1000*R26</f>
        <v>15.5</v>
      </c>
    </row>
    <row r="27" spans="2:19" ht="21" x14ac:dyDescent="0.35">
      <c r="B27" s="48"/>
      <c r="C27" s="64" t="s">
        <v>39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6"/>
    </row>
    <row r="28" spans="2:19" ht="18.75" x14ac:dyDescent="0.3">
      <c r="B28" s="48"/>
      <c r="C28" s="52" t="s">
        <v>26</v>
      </c>
      <c r="D28" s="53">
        <v>3</v>
      </c>
      <c r="E28" s="53">
        <v>0</v>
      </c>
      <c r="F28" s="53">
        <f>D28-E28</f>
        <v>3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10</v>
      </c>
      <c r="S28" s="53">
        <f>D28/1000*R28</f>
        <v>0.03</v>
      </c>
    </row>
    <row r="29" spans="2:19" ht="18.75" x14ac:dyDescent="0.3">
      <c r="B29" s="48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2:19" ht="23.25" x14ac:dyDescent="0.35">
      <c r="B30" s="48"/>
      <c r="C30" s="67" t="s">
        <v>26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>
        <f>S28+S26+S24+S20+S18+S9</f>
        <v>60.989999999999995</v>
      </c>
    </row>
  </sheetData>
  <mergeCells count="25">
    <mergeCell ref="C21:S21"/>
    <mergeCell ref="C25:S25"/>
    <mergeCell ref="C27:S27"/>
    <mergeCell ref="O2:O3"/>
    <mergeCell ref="P2:P3"/>
    <mergeCell ref="Q2:Q3"/>
    <mergeCell ref="B4:S4"/>
    <mergeCell ref="C10:S10"/>
    <mergeCell ref="C19:S19"/>
    <mergeCell ref="J1:J3"/>
    <mergeCell ref="K1:M1"/>
    <mergeCell ref="N1:Q1"/>
    <mergeCell ref="R1:R3"/>
    <mergeCell ref="S1:S3"/>
    <mergeCell ref="D2:D3"/>
    <mergeCell ref="K2:K3"/>
    <mergeCell ref="L2:L3"/>
    <mergeCell ref="M2:M3"/>
    <mergeCell ref="N2:N3"/>
    <mergeCell ref="C1:C2"/>
    <mergeCell ref="E1:E3"/>
    <mergeCell ref="F1:F3"/>
    <mergeCell ref="G1:G3"/>
    <mergeCell ref="H1:H3"/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2022-01-22T09:30:42Z</dcterms:modified>
</cp:coreProperties>
</file>