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29" i="1" l="1"/>
  <c r="F29" i="1"/>
  <c r="S27" i="1"/>
  <c r="Q27" i="1"/>
  <c r="P27" i="1"/>
  <c r="O27" i="1"/>
  <c r="N27" i="1"/>
  <c r="L27" i="1"/>
  <c r="K27" i="1"/>
  <c r="J27" i="1"/>
  <c r="I27" i="1"/>
  <c r="H27" i="1"/>
  <c r="G27" i="1"/>
  <c r="S25" i="1"/>
  <c r="F25" i="1"/>
  <c r="P25" i="1" s="1"/>
  <c r="P23" i="1"/>
  <c r="O23" i="1"/>
  <c r="M23" i="1"/>
  <c r="L23" i="1"/>
  <c r="K23" i="1"/>
  <c r="H23" i="1"/>
  <c r="G23" i="1"/>
  <c r="E23" i="1"/>
  <c r="S22" i="1"/>
  <c r="Q22" i="1"/>
  <c r="Q23" i="1" s="1"/>
  <c r="N22" i="1"/>
  <c r="N23" i="1" s="1"/>
  <c r="J22" i="1"/>
  <c r="J23" i="1" s="1"/>
  <c r="I22" i="1"/>
  <c r="I23" i="1" s="1"/>
  <c r="S21" i="1"/>
  <c r="S23" i="1" s="1"/>
  <c r="F21" i="1"/>
  <c r="Q21" i="1" s="1"/>
  <c r="S19" i="1"/>
  <c r="Q19" i="1"/>
  <c r="P19" i="1"/>
  <c r="O19" i="1"/>
  <c r="N19" i="1"/>
  <c r="K19" i="1"/>
  <c r="J19" i="1"/>
  <c r="I19" i="1"/>
  <c r="H19" i="1"/>
  <c r="G19" i="1"/>
  <c r="M17" i="1"/>
  <c r="D17" i="1"/>
  <c r="S16" i="1"/>
  <c r="F16" i="1"/>
  <c r="K16" i="1" s="1"/>
  <c r="S15" i="1"/>
  <c r="F15" i="1"/>
  <c r="J15" i="1" s="1"/>
  <c r="S14" i="1"/>
  <c r="F14" i="1"/>
  <c r="Q14" i="1" s="1"/>
  <c r="E14" i="1"/>
  <c r="S13" i="1"/>
  <c r="E13" i="1"/>
  <c r="F13" i="1" s="1"/>
  <c r="S12" i="1"/>
  <c r="S17" i="1" s="1"/>
  <c r="F12" i="1"/>
  <c r="F17" i="1" s="1"/>
  <c r="E12" i="1"/>
  <c r="E17" i="1" s="1"/>
  <c r="D10" i="1"/>
  <c r="S9" i="1"/>
  <c r="O9" i="1"/>
  <c r="M9" i="1"/>
  <c r="I9" i="1"/>
  <c r="G9" i="1"/>
  <c r="F9" i="1"/>
  <c r="Q9" i="1" s="1"/>
  <c r="S8" i="1"/>
  <c r="E8" i="1"/>
  <c r="F8" i="1" s="1"/>
  <c r="S7" i="1"/>
  <c r="E7" i="1"/>
  <c r="F7" i="1" s="1"/>
  <c r="S6" i="1"/>
  <c r="S10" i="1" s="1"/>
  <c r="Q6" i="1"/>
  <c r="P6" i="1"/>
  <c r="O6" i="1"/>
  <c r="N6" i="1"/>
  <c r="M6" i="1"/>
  <c r="M10" i="1" s="1"/>
  <c r="K6" i="1"/>
  <c r="J6" i="1"/>
  <c r="I6" i="1"/>
  <c r="H6" i="1"/>
  <c r="G6" i="1"/>
  <c r="E6" i="1"/>
  <c r="E10" i="1" s="1"/>
  <c r="F10" i="1" l="1"/>
  <c r="Q7" i="1"/>
  <c r="Q10" i="1" s="1"/>
  <c r="O7" i="1"/>
  <c r="O10" i="1" s="1"/>
  <c r="L7" i="1"/>
  <c r="J7" i="1"/>
  <c r="J10" i="1" s="1"/>
  <c r="G7" i="1"/>
  <c r="G10" i="1" s="1"/>
  <c r="P7" i="1"/>
  <c r="P10" i="1" s="1"/>
  <c r="N7" i="1"/>
  <c r="N10" i="1" s="1"/>
  <c r="K7" i="1"/>
  <c r="K10" i="1" s="1"/>
  <c r="I7" i="1"/>
  <c r="I10" i="1" s="1"/>
  <c r="P8" i="1"/>
  <c r="N8" i="1"/>
  <c r="K8" i="1"/>
  <c r="I8" i="1"/>
  <c r="G8" i="1"/>
  <c r="Q8" i="1"/>
  <c r="O8" i="1"/>
  <c r="L8" i="1"/>
  <c r="J8" i="1"/>
  <c r="H8" i="1"/>
  <c r="H10" i="1" s="1"/>
  <c r="P13" i="1"/>
  <c r="N13" i="1"/>
  <c r="K13" i="1"/>
  <c r="I13" i="1"/>
  <c r="G13" i="1"/>
  <c r="Q13" i="1"/>
  <c r="O13" i="1"/>
  <c r="L13" i="1"/>
  <c r="J13" i="1"/>
  <c r="H13" i="1"/>
  <c r="S31" i="1"/>
  <c r="H9" i="1"/>
  <c r="J9" i="1"/>
  <c r="N9" i="1"/>
  <c r="P9" i="1"/>
  <c r="G12" i="1"/>
  <c r="I12" i="1"/>
  <c r="K12" i="1"/>
  <c r="N12" i="1"/>
  <c r="P12" i="1"/>
  <c r="G14" i="1"/>
  <c r="I14" i="1"/>
  <c r="K14" i="1"/>
  <c r="N14" i="1"/>
  <c r="P14" i="1"/>
  <c r="H15" i="1"/>
  <c r="K15" i="1"/>
  <c r="J16" i="1"/>
  <c r="H21" i="1"/>
  <c r="J21" i="1"/>
  <c r="L21" i="1"/>
  <c r="N21" i="1"/>
  <c r="P21" i="1"/>
  <c r="G25" i="1"/>
  <c r="I25" i="1"/>
  <c r="K25" i="1"/>
  <c r="M25" i="1"/>
  <c r="O25" i="1"/>
  <c r="Q25" i="1"/>
  <c r="H12" i="1"/>
  <c r="J12" i="1"/>
  <c r="L12" i="1"/>
  <c r="O12" i="1"/>
  <c r="Q12" i="1"/>
  <c r="Q17" i="1" s="1"/>
  <c r="H14" i="1"/>
  <c r="J14" i="1"/>
  <c r="L14" i="1"/>
  <c r="O14" i="1"/>
  <c r="H16" i="1"/>
  <c r="G21" i="1"/>
  <c r="I21" i="1"/>
  <c r="K21" i="1"/>
  <c r="M21" i="1"/>
  <c r="O21" i="1"/>
  <c r="H25" i="1"/>
  <c r="J25" i="1"/>
  <c r="L25" i="1"/>
  <c r="N25" i="1"/>
  <c r="O17" i="1" l="1"/>
  <c r="J17" i="1"/>
  <c r="N17" i="1"/>
  <c r="I17" i="1"/>
  <c r="L17" i="1"/>
  <c r="H17" i="1"/>
  <c r="P17" i="1"/>
  <c r="K17" i="1"/>
  <c r="G17" i="1"/>
  <c r="L10" i="1"/>
</calcChain>
</file>

<file path=xl/sharedStrings.xml><?xml version="1.0" encoding="utf-8"?>
<sst xmlns="http://schemas.openxmlformats.org/spreadsheetml/2006/main" count="48" uniqueCount="40">
  <si>
    <t>меню для школьников за сентябрь  2021 год</t>
  </si>
  <si>
    <t>январь</t>
  </si>
  <si>
    <t>Наименование блюда</t>
  </si>
  <si>
    <t>всего грамм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</si>
  <si>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</si>
  <si>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</si>
  <si>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</si>
  <si>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</si>
  <si>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</si>
  <si>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</si>
  <si>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</si>
  <si>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</si>
  <si>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</si>
  <si>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</si>
  <si>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</si>
  <si>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</si>
  <si>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</si>
  <si>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</si>
  <si>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</si>
  <si>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</si>
  <si>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</si>
  <si>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1.02.2022г</t>
  </si>
  <si>
    <t>1.запеканка картофельная с куриным филе</t>
  </si>
  <si>
    <t xml:space="preserve">курица </t>
  </si>
  <si>
    <t>лук</t>
  </si>
  <si>
    <t>картофель</t>
  </si>
  <si>
    <t>масло сливочное</t>
  </si>
  <si>
    <t>итого</t>
  </si>
  <si>
    <t>2.салат овощной</t>
  </si>
  <si>
    <t>морковь</t>
  </si>
  <si>
    <t>свекла</t>
  </si>
  <si>
    <t>зел.горох</t>
  </si>
  <si>
    <t>растит. масло</t>
  </si>
  <si>
    <t>3.хлеб</t>
  </si>
  <si>
    <t>4.чай</t>
  </si>
  <si>
    <t>чай</t>
  </si>
  <si>
    <t>сахар</t>
  </si>
  <si>
    <t>5.печенье</t>
  </si>
  <si>
    <t>6.яблоки</t>
  </si>
  <si>
    <t>7.соль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</si>
</sst>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1" fontId="0" fillId="0" borderId="1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7" xfId="1" applyNumberFormat="1" applyFont="1" applyFill="1" applyBorder="1" applyAlignment="1" applyProtection="1">
      <alignment horizontal="center" vertical="top" wrapText="1"/>
    </xf>
    <xf numFmtId="0" fontId="6" fillId="2" borderId="7" xfId="1" applyNumberFormat="1" applyFont="1" applyFill="1" applyBorder="1" applyAlignment="1" applyProtection="1">
      <alignment horizontal="center" vertical="top"/>
    </xf>
    <xf numFmtId="0" fontId="7" fillId="0" borderId="7" xfId="1" applyNumberFormat="1" applyFont="1" applyFill="1" applyBorder="1" applyAlignment="1" applyProtection="1">
      <alignment horizontal="center" vertical="center"/>
    </xf>
    <xf numFmtId="0" fontId="7" fillId="2" borderId="4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/>
    </xf>
    <xf numFmtId="0" fontId="2" fillId="2" borderId="4" xfId="0" applyFont="1" applyFill="1" applyBorder="1" applyAlignment="1"/>
    <xf numFmtId="0" fontId="9" fillId="0" borderId="4" xfId="1" applyNumberFormat="1" applyFont="1" applyFill="1" applyBorder="1" applyAlignment="1" applyProtection="1">
      <alignment horizontal="left" vertical="top" wrapText="1"/>
    </xf>
    <xf numFmtId="0" fontId="5" fillId="2" borderId="6" xfId="1" applyNumberFormat="1" applyFont="1" applyFill="1" applyBorder="1" applyAlignment="1" applyProtection="1">
      <alignment horizontal="center" vertical="top" wrapText="1"/>
    </xf>
    <xf numFmtId="0" fontId="6" fillId="2" borderId="6" xfId="1" applyNumberFormat="1" applyFont="1" applyFill="1" applyBorder="1" applyAlignment="1" applyProtection="1">
      <alignment horizontal="center" vertical="top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7" fillId="2" borderId="6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8" fillId="0" borderId="6" xfId="0" applyFont="1" applyBorder="1" applyAlignment="1">
      <alignment horizontal="center"/>
    </xf>
    <xf numFmtId="0" fontId="9" fillId="0" borderId="8" xfId="1" applyNumberFormat="1" applyFont="1" applyFill="1" applyBorder="1" applyAlignment="1" applyProtection="1">
      <alignment horizontal="center" vertical="top" wrapText="1"/>
    </xf>
    <xf numFmtId="0" fontId="9" fillId="0" borderId="9" xfId="1" applyNumberFormat="1" applyFont="1" applyFill="1" applyBorder="1" applyAlignment="1" applyProtection="1">
      <alignment horizontal="center" vertical="top" wrapText="1"/>
    </xf>
    <xf numFmtId="0" fontId="9" fillId="0" borderId="10" xfId="1" applyNumberFormat="1" applyFont="1" applyFill="1" applyBorder="1" applyAlignment="1" applyProtection="1">
      <alignment horizontal="center" vertical="top" wrapText="1"/>
    </xf>
    <xf numFmtId="1" fontId="8" fillId="0" borderId="5" xfId="0" applyNumberFormat="1" applyFont="1" applyBorder="1"/>
    <xf numFmtId="0" fontId="0" fillId="0" borderId="5" xfId="0" applyBorder="1"/>
    <xf numFmtId="2" fontId="0" fillId="0" borderId="5" xfId="0" applyNumberFormat="1" applyBorder="1"/>
    <xf numFmtId="0" fontId="8" fillId="0" borderId="5" xfId="0" applyFont="1" applyBorder="1"/>
    <xf numFmtId="1" fontId="10" fillId="0" borderId="5" xfId="0" applyNumberFormat="1" applyFont="1" applyBorder="1"/>
    <xf numFmtId="2" fontId="11" fillId="0" borderId="5" xfId="0" applyNumberFormat="1" applyFont="1" applyBorder="1"/>
    <xf numFmtId="0" fontId="12" fillId="0" borderId="5" xfId="1" applyNumberFormat="1" applyFont="1" applyFill="1" applyBorder="1" applyAlignment="1" applyProtection="1">
      <alignment horizontal="left" vertical="top" wrapText="1"/>
    </xf>
    <xf numFmtId="2" fontId="13" fillId="0" borderId="5" xfId="0" applyNumberFormat="1" applyFont="1" applyBorder="1"/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5" xfId="0" applyNumberFormat="1" applyBorder="1"/>
    <xf numFmtId="0" fontId="14" fillId="2" borderId="5" xfId="1" applyNumberFormat="1" applyFont="1" applyFill="1" applyBorder="1" applyAlignment="1" applyProtection="1">
      <alignment vertical="center" wrapText="1"/>
    </xf>
    <xf numFmtId="2" fontId="8" fillId="0" borderId="7" xfId="0" applyNumberFormat="1" applyFont="1" applyBorder="1" applyAlignment="1">
      <alignment vertical="center"/>
    </xf>
    <xf numFmtId="2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2" fontId="1" fillId="0" borderId="8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8" fillId="0" borderId="5" xfId="0" applyNumberFormat="1" applyFont="1" applyBorder="1"/>
    <xf numFmtId="2" fontId="8" fillId="0" borderId="8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164" fontId="13" fillId="0" borderId="5" xfId="0" applyNumberFormat="1" applyFont="1" applyBorder="1"/>
    <xf numFmtId="2" fontId="10" fillId="0" borderId="5" xfId="0" applyNumberFormat="1" applyFont="1" applyBorder="1"/>
    <xf numFmtId="2" fontId="16" fillId="0" borderId="5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1"/>
  <sheetViews>
    <sheetView tabSelected="1" topLeftCell="A22" workbookViewId="0">
      <selection activeCell="T7" sqref="T7"/>
    </sheetView>
  </sheetViews>
  <sheetFormatPr defaultRowHeight="15" x14ac:dyDescent="0.25"/>
  <sheetData>
    <row r="1" spans="2:19" ht="21" x14ac:dyDescent="0.35">
      <c r="B1" s="1"/>
      <c r="C1" s="2"/>
      <c r="D1" s="3" t="s">
        <v>0</v>
      </c>
      <c r="E1" s="3" t="s">
        <v>1</v>
      </c>
      <c r="F1" s="3">
        <v>2022</v>
      </c>
      <c r="G1" s="3"/>
      <c r="H1" s="4"/>
      <c r="I1" s="4"/>
      <c r="J1" s="4"/>
      <c r="K1" s="5"/>
      <c r="L1" s="5"/>
      <c r="M1" s="5"/>
      <c r="N1" s="5"/>
      <c r="O1" s="5"/>
      <c r="P1" s="5"/>
      <c r="Q1" s="5"/>
      <c r="R1" s="4"/>
      <c r="S1" s="6"/>
    </row>
    <row r="2" spans="2:19" ht="15.75" x14ac:dyDescent="0.25">
      <c r="B2" s="7"/>
      <c r="C2" s="8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2" t="s">
        <v>10</v>
      </c>
      <c r="L2" s="12"/>
      <c r="M2" s="12"/>
      <c r="N2" s="12" t="s">
        <v>11</v>
      </c>
      <c r="O2" s="12"/>
      <c r="P2" s="12"/>
      <c r="Q2" s="12"/>
      <c r="R2" s="13" t="s">
        <v>12</v>
      </c>
      <c r="S2" s="14" t="s">
        <v>13</v>
      </c>
    </row>
    <row r="3" spans="2:19" x14ac:dyDescent="0.25">
      <c r="B3" s="15"/>
      <c r="C3" s="8"/>
      <c r="D3" s="16"/>
      <c r="E3" s="17"/>
      <c r="F3" s="17"/>
      <c r="G3" s="18"/>
      <c r="H3" s="18"/>
      <c r="I3" s="18"/>
      <c r="J3" s="18"/>
      <c r="K3" s="11" t="s">
        <v>14</v>
      </c>
      <c r="L3" s="19" t="s">
        <v>15</v>
      </c>
      <c r="M3" s="11" t="s">
        <v>16</v>
      </c>
      <c r="N3" s="11" t="s">
        <v>17</v>
      </c>
      <c r="O3" s="11" t="s">
        <v>18</v>
      </c>
      <c r="P3" s="11" t="s">
        <v>19</v>
      </c>
      <c r="Q3" s="11" t="s">
        <v>20</v>
      </c>
      <c r="R3" s="20"/>
      <c r="S3" s="21"/>
    </row>
    <row r="4" spans="2:19" ht="40.5" x14ac:dyDescent="0.3">
      <c r="B4" s="22"/>
      <c r="C4" s="23" t="s">
        <v>21</v>
      </c>
      <c r="D4" s="24"/>
      <c r="E4" s="25"/>
      <c r="F4" s="25"/>
      <c r="G4" s="26"/>
      <c r="H4" s="26"/>
      <c r="I4" s="26"/>
      <c r="J4" s="26"/>
      <c r="K4" s="26"/>
      <c r="L4" s="27"/>
      <c r="M4" s="26"/>
      <c r="N4" s="26"/>
      <c r="O4" s="26"/>
      <c r="P4" s="26"/>
      <c r="Q4" s="26"/>
      <c r="R4" s="28"/>
      <c r="S4" s="29"/>
    </row>
    <row r="5" spans="2:19" ht="20.25" x14ac:dyDescent="0.3">
      <c r="B5" s="22"/>
      <c r="C5" s="30" t="s">
        <v>22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</row>
    <row r="6" spans="2:19" ht="18.75" x14ac:dyDescent="0.3">
      <c r="B6" s="33"/>
      <c r="C6" s="34" t="s">
        <v>23</v>
      </c>
      <c r="D6" s="35">
        <v>90</v>
      </c>
      <c r="E6" s="35">
        <f>D6*25%</f>
        <v>22.5</v>
      </c>
      <c r="F6" s="35">
        <v>75</v>
      </c>
      <c r="G6" s="35">
        <f>F6*18.2%</f>
        <v>13.65</v>
      </c>
      <c r="H6" s="35">
        <f>F6*18.4%</f>
        <v>13.799999999999999</v>
      </c>
      <c r="I6" s="35">
        <f>F6*0.7%</f>
        <v>0.52499999999999991</v>
      </c>
      <c r="J6" s="35">
        <f>F6*241%</f>
        <v>180.75</v>
      </c>
      <c r="K6" s="35">
        <f>F6*0.07%</f>
        <v>5.2500000000000005E-2</v>
      </c>
      <c r="L6" s="35">
        <v>0</v>
      </c>
      <c r="M6" s="35">
        <f>F6*0.07%</f>
        <v>5.2500000000000005E-2</v>
      </c>
      <c r="N6" s="35">
        <f>F6*16%</f>
        <v>12</v>
      </c>
      <c r="O6" s="35">
        <f>F6*165%</f>
        <v>123.75</v>
      </c>
      <c r="P6" s="35">
        <f>F6*18%</f>
        <v>13.5</v>
      </c>
      <c r="Q6" s="35">
        <f>F6*1.6%</f>
        <v>1.2</v>
      </c>
      <c r="R6" s="35">
        <v>210</v>
      </c>
      <c r="S6" s="35">
        <f>D6/1000*R6</f>
        <v>18.899999999999999</v>
      </c>
    </row>
    <row r="7" spans="2:19" ht="18.75" x14ac:dyDescent="0.3">
      <c r="B7" s="36"/>
      <c r="C7" s="34" t="s">
        <v>24</v>
      </c>
      <c r="D7" s="35">
        <v>15</v>
      </c>
      <c r="E7" s="35">
        <f>D7*0.16</f>
        <v>2.4</v>
      </c>
      <c r="F7" s="35">
        <f>D7-E7</f>
        <v>12.6</v>
      </c>
      <c r="G7" s="35">
        <f>F7*1.4%</f>
        <v>0.17639999999999997</v>
      </c>
      <c r="H7">
        <v>0</v>
      </c>
      <c r="I7" s="35">
        <f>F7*9.1%</f>
        <v>1.1465999999999998</v>
      </c>
      <c r="J7" s="35">
        <f>F7*41%</f>
        <v>5.1659999999999995</v>
      </c>
      <c r="K7" s="35">
        <f>F7*0.05%</f>
        <v>6.3E-3</v>
      </c>
      <c r="L7" s="35">
        <f>F7*10%</f>
        <v>1.26</v>
      </c>
      <c r="M7" s="35">
        <v>0</v>
      </c>
      <c r="N7" s="35">
        <f>F7*31%</f>
        <v>3.9059999999999997</v>
      </c>
      <c r="O7" s="35">
        <f>F7*58%</f>
        <v>7.3079999999999989</v>
      </c>
      <c r="P7" s="35">
        <f>F7*14%</f>
        <v>1.764</v>
      </c>
      <c r="Q7" s="35">
        <f>F7*0.8%</f>
        <v>0.1008</v>
      </c>
      <c r="R7" s="35">
        <v>35</v>
      </c>
      <c r="S7" s="35">
        <f>D7/1000*R7</f>
        <v>0.52500000000000002</v>
      </c>
    </row>
    <row r="8" spans="2:19" ht="18.75" x14ac:dyDescent="0.3">
      <c r="B8" s="37"/>
      <c r="C8" s="34" t="s">
        <v>25</v>
      </c>
      <c r="D8" s="35">
        <v>90</v>
      </c>
      <c r="E8" s="35">
        <f>D8*0.25</f>
        <v>22.5</v>
      </c>
      <c r="F8" s="35">
        <f>D8-E8</f>
        <v>67.5</v>
      </c>
      <c r="G8" s="35">
        <f>F8*2%</f>
        <v>1.35</v>
      </c>
      <c r="H8" s="35">
        <f>F8*0.4%</f>
        <v>0.27</v>
      </c>
      <c r="I8" s="35">
        <f>F8*16.3%</f>
        <v>11.002500000000001</v>
      </c>
      <c r="J8" s="35">
        <f>F8*80%</f>
        <v>54</v>
      </c>
      <c r="K8" s="35">
        <f>F8*0.12%</f>
        <v>8.0999999999999989E-2</v>
      </c>
      <c r="L8" s="35">
        <f>F8*20%</f>
        <v>13.5</v>
      </c>
      <c r="M8" s="35">
        <v>0</v>
      </c>
      <c r="N8" s="35">
        <f>F8*10%</f>
        <v>6.75</v>
      </c>
      <c r="O8" s="35">
        <f>F8*58%</f>
        <v>39.15</v>
      </c>
      <c r="P8" s="35">
        <f>F8*23%</f>
        <v>15.525</v>
      </c>
      <c r="Q8" s="35">
        <f>F8*0.9%</f>
        <v>0.60750000000000004</v>
      </c>
      <c r="R8" s="35">
        <v>50</v>
      </c>
      <c r="S8" s="35">
        <f>D8/1000*R8</f>
        <v>4.5</v>
      </c>
    </row>
    <row r="9" spans="2:19" ht="18.75" x14ac:dyDescent="0.3">
      <c r="B9" s="37"/>
      <c r="C9" s="34" t="s">
        <v>26</v>
      </c>
      <c r="D9" s="35">
        <v>10</v>
      </c>
      <c r="E9" s="35">
        <v>0</v>
      </c>
      <c r="F9" s="35">
        <f>D9-E9</f>
        <v>10</v>
      </c>
      <c r="G9" s="35">
        <f>F9*0.5%</f>
        <v>0.05</v>
      </c>
      <c r="H9" s="35">
        <f>F9*82.5%</f>
        <v>8.25</v>
      </c>
      <c r="I9" s="35">
        <f>F9*0.8%</f>
        <v>0.08</v>
      </c>
      <c r="J9" s="35">
        <f>F9*748%</f>
        <v>74.800000000000011</v>
      </c>
      <c r="K9" s="35">
        <v>0</v>
      </c>
      <c r="L9" s="35">
        <v>0</v>
      </c>
      <c r="M9" s="35">
        <f>F9*0.59%</f>
        <v>5.8999999999999997E-2</v>
      </c>
      <c r="N9" s="35">
        <f>F9*12%</f>
        <v>1.2</v>
      </c>
      <c r="O9" s="35">
        <f>F9*19%</f>
        <v>1.9</v>
      </c>
      <c r="P9" s="35">
        <f>F9*0.4%</f>
        <v>0.04</v>
      </c>
      <c r="Q9" s="35">
        <f>F9*0.2%</f>
        <v>0.02</v>
      </c>
      <c r="R9" s="35">
        <v>635</v>
      </c>
      <c r="S9" s="38">
        <f>D9/1000*R9</f>
        <v>6.3500000000000005</v>
      </c>
    </row>
    <row r="10" spans="2:19" ht="18.75" x14ac:dyDescent="0.3">
      <c r="B10" s="36"/>
      <c r="C10" s="39" t="s">
        <v>27</v>
      </c>
      <c r="D10" s="40">
        <f t="shared" ref="D10:Q10" si="0">SUM(D6:D9)</f>
        <v>205</v>
      </c>
      <c r="E10" s="40">
        <f t="shared" si="0"/>
        <v>47.4</v>
      </c>
      <c r="F10" s="40">
        <f t="shared" si="0"/>
        <v>165.1</v>
      </c>
      <c r="G10" s="40">
        <f t="shared" si="0"/>
        <v>15.2264</v>
      </c>
      <c r="H10" s="40">
        <f t="shared" si="0"/>
        <v>22.32</v>
      </c>
      <c r="I10" s="40">
        <f t="shared" si="0"/>
        <v>12.754100000000001</v>
      </c>
      <c r="J10" s="40">
        <f t="shared" si="0"/>
        <v>314.71600000000001</v>
      </c>
      <c r="K10" s="40">
        <f t="shared" si="0"/>
        <v>0.13979999999999998</v>
      </c>
      <c r="L10" s="40">
        <f t="shared" si="0"/>
        <v>14.76</v>
      </c>
      <c r="M10" s="40">
        <f t="shared" si="0"/>
        <v>0.1115</v>
      </c>
      <c r="N10" s="40">
        <f t="shared" si="0"/>
        <v>23.855999999999998</v>
      </c>
      <c r="O10" s="40">
        <f t="shared" si="0"/>
        <v>172.108</v>
      </c>
      <c r="P10" s="40">
        <f t="shared" si="0"/>
        <v>30.829000000000001</v>
      </c>
      <c r="Q10" s="40">
        <f t="shared" si="0"/>
        <v>1.9283000000000001</v>
      </c>
      <c r="R10" s="40"/>
      <c r="S10" s="40">
        <f>SUM(S6:S9)</f>
        <v>30.274999999999999</v>
      </c>
    </row>
    <row r="11" spans="2:19" ht="21" x14ac:dyDescent="0.35">
      <c r="B11" s="33"/>
      <c r="C11" s="41" t="s">
        <v>28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</row>
    <row r="12" spans="2:19" ht="18.75" x14ac:dyDescent="0.3">
      <c r="B12" s="33"/>
      <c r="C12" s="34" t="s">
        <v>25</v>
      </c>
      <c r="D12" s="35">
        <v>30</v>
      </c>
      <c r="E12" s="35">
        <f>D12*0.25</f>
        <v>7.5</v>
      </c>
      <c r="F12" s="35">
        <f>D12-E12</f>
        <v>22.5</v>
      </c>
      <c r="G12" s="35">
        <f>F12*2%</f>
        <v>0.45</v>
      </c>
      <c r="H12" s="35">
        <f>F12*0.4%</f>
        <v>0.09</v>
      </c>
      <c r="I12" s="35">
        <f>F12*16.3%</f>
        <v>3.6675</v>
      </c>
      <c r="J12" s="35">
        <f>F12*80%</f>
        <v>18</v>
      </c>
      <c r="K12" s="35">
        <f>F12*0.12%</f>
        <v>2.6999999999999996E-2</v>
      </c>
      <c r="L12" s="35">
        <f>F12*20%</f>
        <v>4.5</v>
      </c>
      <c r="M12" s="35">
        <v>0</v>
      </c>
      <c r="N12" s="35">
        <f>F12*10%</f>
        <v>2.25</v>
      </c>
      <c r="O12" s="35">
        <f>F12*58%</f>
        <v>13.049999999999999</v>
      </c>
      <c r="P12" s="35">
        <f>F12*23%</f>
        <v>5.1749999999999998</v>
      </c>
      <c r="Q12" s="35">
        <f>F12*0.9%</f>
        <v>0.20250000000000001</v>
      </c>
      <c r="R12" s="35">
        <v>50</v>
      </c>
      <c r="S12" s="35">
        <f>D12/1000*R12</f>
        <v>1.5</v>
      </c>
    </row>
    <row r="13" spans="2:19" ht="18.75" x14ac:dyDescent="0.3">
      <c r="B13" s="33"/>
      <c r="C13" s="34" t="s">
        <v>29</v>
      </c>
      <c r="D13" s="35">
        <v>30</v>
      </c>
      <c r="E13" s="35">
        <f>D13*0.2</f>
        <v>6</v>
      </c>
      <c r="F13" s="35">
        <f>D13-E13</f>
        <v>24</v>
      </c>
      <c r="G13" s="35">
        <f>F13*1.3%</f>
        <v>0.31200000000000006</v>
      </c>
      <c r="H13" s="44">
        <f>F13*0.001</f>
        <v>2.4E-2</v>
      </c>
      <c r="I13" s="35">
        <f>F13*0.072</f>
        <v>1.7279999999999998</v>
      </c>
      <c r="J13" s="35">
        <f>F13*0.3</f>
        <v>7.1999999999999993</v>
      </c>
      <c r="K13" s="35">
        <f>F13*0.06%</f>
        <v>1.44E-2</v>
      </c>
      <c r="L13" s="35">
        <f>F13*5%</f>
        <v>1.2000000000000002</v>
      </c>
      <c r="M13" s="35">
        <v>0</v>
      </c>
      <c r="N13" s="35">
        <f>F13*51%</f>
        <v>12.24</v>
      </c>
      <c r="O13" s="35">
        <f>F13*55%</f>
        <v>13.200000000000001</v>
      </c>
      <c r="P13" s="35">
        <f>F13*38%</f>
        <v>9.120000000000001</v>
      </c>
      <c r="Q13" s="35">
        <f>F13*0.7%</f>
        <v>0.16799999999999998</v>
      </c>
      <c r="R13" s="35">
        <v>55</v>
      </c>
      <c r="S13" s="34">
        <f>D13/1000*R13</f>
        <v>1.65</v>
      </c>
    </row>
    <row r="14" spans="2:19" ht="18.75" x14ac:dyDescent="0.3">
      <c r="B14" s="33"/>
      <c r="C14" s="45" t="s">
        <v>30</v>
      </c>
      <c r="D14" s="35">
        <v>25</v>
      </c>
      <c r="E14" s="35">
        <f>D14*0.2</f>
        <v>5</v>
      </c>
      <c r="F14" s="35">
        <f>D14-E14</f>
        <v>20</v>
      </c>
      <c r="G14" s="35">
        <f>F14*0.015</f>
        <v>0.3</v>
      </c>
      <c r="H14" s="35">
        <f>F14*0.001</f>
        <v>0.02</v>
      </c>
      <c r="I14" s="35">
        <f>F14*0.091</f>
        <v>1.8199999999999998</v>
      </c>
      <c r="J14" s="35">
        <f>F14*0.42</f>
        <v>8.4</v>
      </c>
      <c r="K14" s="35">
        <f>F14*0.02%</f>
        <v>4.0000000000000001E-3</v>
      </c>
      <c r="L14" s="35">
        <f>F14*10%</f>
        <v>2</v>
      </c>
      <c r="M14" s="35">
        <v>0</v>
      </c>
      <c r="N14" s="35">
        <f>F14*37%</f>
        <v>7.4</v>
      </c>
      <c r="O14" s="35">
        <f>F14*43%</f>
        <v>8.6</v>
      </c>
      <c r="P14" s="35">
        <f>F14*22%</f>
        <v>4.4000000000000004</v>
      </c>
      <c r="Q14" s="35">
        <f>F14*1.4%</f>
        <v>0.27999999999999997</v>
      </c>
      <c r="R14" s="35">
        <v>55</v>
      </c>
      <c r="S14" s="35">
        <f>D14/1000*R14</f>
        <v>1.375</v>
      </c>
    </row>
    <row r="15" spans="2:19" ht="31.5" x14ac:dyDescent="0.25">
      <c r="B15" s="46"/>
      <c r="C15" s="45" t="s">
        <v>31</v>
      </c>
      <c r="D15" s="47">
        <v>20</v>
      </c>
      <c r="E15" s="47">
        <v>0</v>
      </c>
      <c r="F15" s="47">
        <f>D15-E15</f>
        <v>20</v>
      </c>
      <c r="G15" s="47">
        <v>0</v>
      </c>
      <c r="H15" s="48">
        <f>F15*0.999</f>
        <v>19.98</v>
      </c>
      <c r="I15" s="47">
        <v>0</v>
      </c>
      <c r="J15" s="47">
        <f>F15*8.99</f>
        <v>179.8</v>
      </c>
      <c r="K15" s="47">
        <f>F15*0.06%</f>
        <v>1.1999999999999999E-2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58</v>
      </c>
      <c r="S15" s="47">
        <f>D15/1000*R15</f>
        <v>1.1599999999999999</v>
      </c>
    </row>
    <row r="16" spans="2:19" ht="31.5" x14ac:dyDescent="0.3">
      <c r="B16" s="33"/>
      <c r="C16" s="45" t="s">
        <v>32</v>
      </c>
      <c r="D16" s="35">
        <v>10</v>
      </c>
      <c r="E16" s="35">
        <v>0</v>
      </c>
      <c r="F16" s="35">
        <f>D16-E16</f>
        <v>10</v>
      </c>
      <c r="G16" s="35">
        <v>0</v>
      </c>
      <c r="H16" s="44">
        <f>F16*0.999</f>
        <v>9.99</v>
      </c>
      <c r="I16" s="35">
        <v>0</v>
      </c>
      <c r="J16" s="35">
        <f>F16*8.99</f>
        <v>89.9</v>
      </c>
      <c r="K16" s="35">
        <f>F16*0.06%</f>
        <v>5.9999999999999993E-3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145</v>
      </c>
      <c r="S16" s="35">
        <f>D16/1000*R16</f>
        <v>1.45</v>
      </c>
    </row>
    <row r="17" spans="2:19" ht="18.75" x14ac:dyDescent="0.3">
      <c r="B17" s="33"/>
      <c r="C17" s="39" t="s">
        <v>27</v>
      </c>
      <c r="D17" s="40">
        <f t="shared" ref="D17:Q17" si="1">SUM(D12:D16)</f>
        <v>115</v>
      </c>
      <c r="E17" s="40">
        <f t="shared" si="1"/>
        <v>18.5</v>
      </c>
      <c r="F17" s="40">
        <f t="shared" si="1"/>
        <v>96.5</v>
      </c>
      <c r="G17" s="40">
        <f t="shared" si="1"/>
        <v>1.0620000000000001</v>
      </c>
      <c r="H17" s="40">
        <f t="shared" si="1"/>
        <v>30.103999999999999</v>
      </c>
      <c r="I17" s="40">
        <f t="shared" si="1"/>
        <v>7.2155000000000005</v>
      </c>
      <c r="J17" s="40">
        <f t="shared" si="1"/>
        <v>303.3</v>
      </c>
      <c r="K17" s="40">
        <f t="shared" si="1"/>
        <v>6.3399999999999998E-2</v>
      </c>
      <c r="L17" s="40">
        <f t="shared" si="1"/>
        <v>7.7</v>
      </c>
      <c r="M17" s="40">
        <f t="shared" si="1"/>
        <v>0</v>
      </c>
      <c r="N17" s="40">
        <f t="shared" si="1"/>
        <v>21.89</v>
      </c>
      <c r="O17" s="40">
        <f t="shared" si="1"/>
        <v>34.85</v>
      </c>
      <c r="P17" s="40">
        <f t="shared" si="1"/>
        <v>18.695</v>
      </c>
      <c r="Q17" s="40">
        <f t="shared" si="1"/>
        <v>0.65049999999999997</v>
      </c>
      <c r="R17" s="40"/>
      <c r="S17" s="40">
        <f>SUM(S12:S16)</f>
        <v>7.1350000000000007</v>
      </c>
    </row>
    <row r="18" spans="2:19" ht="21" x14ac:dyDescent="0.35">
      <c r="B18" s="33"/>
      <c r="C18" s="49" t="s">
        <v>33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</row>
    <row r="19" spans="2:19" ht="18.75" x14ac:dyDescent="0.3">
      <c r="B19" s="33"/>
      <c r="C19" s="52" t="s">
        <v>27</v>
      </c>
      <c r="D19" s="40">
        <v>50</v>
      </c>
      <c r="E19" s="40">
        <v>0</v>
      </c>
      <c r="F19" s="40">
        <v>30</v>
      </c>
      <c r="G19" s="40">
        <f>F19*7.9%</f>
        <v>2.37</v>
      </c>
      <c r="H19" s="40">
        <f>F19*1%</f>
        <v>0.3</v>
      </c>
      <c r="I19" s="40">
        <f>F19*48.1%</f>
        <v>14.430000000000001</v>
      </c>
      <c r="J19" s="40">
        <f>F19*239%</f>
        <v>71.7</v>
      </c>
      <c r="K19" s="40">
        <f>F19*0.16%</f>
        <v>4.8000000000000001E-2</v>
      </c>
      <c r="L19" s="40">
        <v>0</v>
      </c>
      <c r="M19" s="40">
        <v>0</v>
      </c>
      <c r="N19" s="40">
        <f>F19*23%</f>
        <v>6.9</v>
      </c>
      <c r="O19" s="40">
        <f>F19*87%</f>
        <v>26.1</v>
      </c>
      <c r="P19" s="40">
        <f>F19*33%</f>
        <v>9.9</v>
      </c>
      <c r="Q19" s="40">
        <f>F19*2%</f>
        <v>0.6</v>
      </c>
      <c r="R19" s="40">
        <v>50</v>
      </c>
      <c r="S19" s="40">
        <f>D19/1000*50</f>
        <v>2.5</v>
      </c>
    </row>
    <row r="20" spans="2:19" ht="21" x14ac:dyDescent="0.35">
      <c r="B20" s="33"/>
      <c r="C20" s="49" t="s">
        <v>34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</row>
    <row r="21" spans="2:19" ht="18.75" x14ac:dyDescent="0.3">
      <c r="B21" s="33"/>
      <c r="C21" s="35" t="s">
        <v>35</v>
      </c>
      <c r="D21" s="35">
        <v>1</v>
      </c>
      <c r="E21" s="35">
        <v>0</v>
      </c>
      <c r="F21" s="35">
        <f>D21-E21</f>
        <v>1</v>
      </c>
      <c r="G21" s="35">
        <f>F21*21.74%</f>
        <v>0.21739999999999998</v>
      </c>
      <c r="H21" s="35">
        <f>F21*7.61%</f>
        <v>7.6100000000000001E-2</v>
      </c>
      <c r="I21" s="35">
        <f>F21*2.86%</f>
        <v>2.86E-2</v>
      </c>
      <c r="J21" s="35">
        <f>F21*9.18%</f>
        <v>9.1799999999999993E-2</v>
      </c>
      <c r="K21" s="35">
        <f>F21*4.7%</f>
        <v>4.7E-2</v>
      </c>
      <c r="L21" s="35">
        <f>F21*11%</f>
        <v>0.11</v>
      </c>
      <c r="M21" s="35">
        <f>F21*5.6%</f>
        <v>5.5999999999999994E-2</v>
      </c>
      <c r="N21" s="35">
        <f>F21*50%</f>
        <v>0.5</v>
      </c>
      <c r="O21" s="35">
        <f>F21*10%</f>
        <v>0.1</v>
      </c>
      <c r="P21" s="35">
        <f>F21*110%</f>
        <v>1.1000000000000001</v>
      </c>
      <c r="Q21" s="35">
        <f>F21*456%</f>
        <v>4.5599999999999996</v>
      </c>
      <c r="R21" s="35">
        <v>650</v>
      </c>
      <c r="S21" s="35">
        <f>D21/1000*R21</f>
        <v>0.65</v>
      </c>
    </row>
    <row r="22" spans="2:19" ht="18.75" x14ac:dyDescent="0.3">
      <c r="B22" s="33"/>
      <c r="C22" s="35" t="s">
        <v>36</v>
      </c>
      <c r="D22" s="35">
        <v>15</v>
      </c>
      <c r="E22" s="35">
        <v>0</v>
      </c>
      <c r="F22" s="35">
        <v>15</v>
      </c>
      <c r="G22" s="35">
        <v>0</v>
      </c>
      <c r="H22" s="35">
        <v>0</v>
      </c>
      <c r="I22" s="35">
        <f>F22*99.8%</f>
        <v>14.97</v>
      </c>
      <c r="J22" s="35">
        <f>F22*379%</f>
        <v>56.85</v>
      </c>
      <c r="K22" s="35">
        <v>0</v>
      </c>
      <c r="L22" s="35">
        <v>0</v>
      </c>
      <c r="M22" s="35">
        <v>0</v>
      </c>
      <c r="N22" s="35">
        <f>F22*2%</f>
        <v>0.3</v>
      </c>
      <c r="O22" s="35">
        <v>0</v>
      </c>
      <c r="P22" s="35">
        <v>0</v>
      </c>
      <c r="Q22" s="35">
        <f>F22*0.3%</f>
        <v>4.4999999999999998E-2</v>
      </c>
      <c r="R22" s="35">
        <v>60</v>
      </c>
      <c r="S22" s="35">
        <f>D22/1000*60</f>
        <v>0.89999999999999991</v>
      </c>
    </row>
    <row r="23" spans="2:19" ht="18.75" x14ac:dyDescent="0.3">
      <c r="B23" s="33"/>
      <c r="C23" s="52" t="s">
        <v>27</v>
      </c>
      <c r="D23" s="40">
        <v>16</v>
      </c>
      <c r="E23" s="40">
        <f>SUM(E22:E22)</f>
        <v>0</v>
      </c>
      <c r="F23" s="40">
        <v>150</v>
      </c>
      <c r="G23" s="40">
        <f t="shared" ref="G23:Q23" si="2">SUM(G22:G22)</f>
        <v>0</v>
      </c>
      <c r="H23" s="40">
        <f t="shared" si="2"/>
        <v>0</v>
      </c>
      <c r="I23" s="40">
        <f t="shared" si="2"/>
        <v>14.97</v>
      </c>
      <c r="J23" s="40">
        <f t="shared" si="2"/>
        <v>56.85</v>
      </c>
      <c r="K23" s="40">
        <f t="shared" si="2"/>
        <v>0</v>
      </c>
      <c r="L23" s="40">
        <f t="shared" si="2"/>
        <v>0</v>
      </c>
      <c r="M23" s="40">
        <f t="shared" si="2"/>
        <v>0</v>
      </c>
      <c r="N23" s="40">
        <f t="shared" si="2"/>
        <v>0.3</v>
      </c>
      <c r="O23" s="40">
        <f t="shared" si="2"/>
        <v>0</v>
      </c>
      <c r="P23" s="40">
        <f t="shared" si="2"/>
        <v>0</v>
      </c>
      <c r="Q23" s="40">
        <f t="shared" si="2"/>
        <v>4.4999999999999998E-2</v>
      </c>
      <c r="R23" s="40"/>
      <c r="S23" s="40">
        <f>SUM(S21:S22)</f>
        <v>1.5499999999999998</v>
      </c>
    </row>
    <row r="24" spans="2:19" ht="18.75" x14ac:dyDescent="0.3">
      <c r="B24" s="33"/>
      <c r="C24" s="53" t="s">
        <v>37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5"/>
    </row>
    <row r="25" spans="2:19" ht="18.75" x14ac:dyDescent="0.3">
      <c r="B25" s="33"/>
      <c r="C25" s="52" t="s">
        <v>27</v>
      </c>
      <c r="D25" s="40">
        <v>55</v>
      </c>
      <c r="E25" s="40">
        <v>0</v>
      </c>
      <c r="F25" s="40">
        <f>D25-E25</f>
        <v>55</v>
      </c>
      <c r="G25" s="35">
        <f>F25*7.5%</f>
        <v>4.125</v>
      </c>
      <c r="H25" s="35">
        <f>F25*11.8%</f>
        <v>6.49</v>
      </c>
      <c r="I25" s="35">
        <f>F25*74.4%</f>
        <v>40.920000000000009</v>
      </c>
      <c r="J25" s="35">
        <f>F25*436%</f>
        <v>239.8</v>
      </c>
      <c r="K25" s="35">
        <f>F25*0.08%</f>
        <v>4.4000000000000004E-2</v>
      </c>
      <c r="L25" s="35">
        <f>F25*0%</f>
        <v>0</v>
      </c>
      <c r="M25" s="35">
        <f>F25*0%</f>
        <v>0</v>
      </c>
      <c r="N25" s="35">
        <f>F25*29%</f>
        <v>15.95</v>
      </c>
      <c r="O25" s="35">
        <f>F25*90%</f>
        <v>49.5</v>
      </c>
      <c r="P25" s="35">
        <f>F25*20%</f>
        <v>11</v>
      </c>
      <c r="Q25" s="35">
        <f>F25*2.1%</f>
        <v>1.155</v>
      </c>
      <c r="R25" s="35">
        <v>100</v>
      </c>
      <c r="S25" s="40">
        <f>D25/1000*R25</f>
        <v>5.5</v>
      </c>
    </row>
    <row r="26" spans="2:19" ht="21" x14ac:dyDescent="0.35">
      <c r="B26" s="33"/>
      <c r="C26" s="49" t="s">
        <v>38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7"/>
    </row>
    <row r="27" spans="2:19" ht="18.75" x14ac:dyDescent="0.3">
      <c r="B27" s="33"/>
      <c r="C27" s="52" t="s">
        <v>27</v>
      </c>
      <c r="D27" s="40">
        <v>140</v>
      </c>
      <c r="E27" s="40">
        <v>0</v>
      </c>
      <c r="F27" s="40">
        <v>125</v>
      </c>
      <c r="G27" s="40">
        <f>F27*0.4%</f>
        <v>0.5</v>
      </c>
      <c r="H27" s="40">
        <f>F27*0.4%</f>
        <v>0.5</v>
      </c>
      <c r="I27" s="40">
        <f>F27*9.8%</f>
        <v>12.25</v>
      </c>
      <c r="J27" s="40">
        <f>F27*45%</f>
        <v>56.25</v>
      </c>
      <c r="K27" s="40">
        <f>F27*0.03%</f>
        <v>3.7499999999999999E-2</v>
      </c>
      <c r="L27" s="40">
        <f>F27*13%</f>
        <v>16.25</v>
      </c>
      <c r="M27" s="40">
        <v>0</v>
      </c>
      <c r="N27" s="40">
        <f>F27*16%</f>
        <v>20</v>
      </c>
      <c r="O27" s="40">
        <f>F27*11%</f>
        <v>13.75</v>
      </c>
      <c r="P27" s="40">
        <f>F27*9%</f>
        <v>11.25</v>
      </c>
      <c r="Q27" s="40">
        <f>F27*2.2%</f>
        <v>2.7500000000000004</v>
      </c>
      <c r="R27" s="40">
        <v>100</v>
      </c>
      <c r="S27" s="40">
        <f>D27/1000*R27</f>
        <v>14.000000000000002</v>
      </c>
    </row>
    <row r="28" spans="2:19" ht="21" x14ac:dyDescent="0.35">
      <c r="B28" s="33"/>
      <c r="C28" s="58" t="s">
        <v>39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60"/>
    </row>
    <row r="29" spans="2:19" ht="18.75" x14ac:dyDescent="0.3">
      <c r="B29" s="33"/>
      <c r="C29" s="52" t="s">
        <v>27</v>
      </c>
      <c r="D29" s="61">
        <v>3</v>
      </c>
      <c r="E29" s="40">
        <v>0</v>
      </c>
      <c r="F29" s="61">
        <f>D29-E29</f>
        <v>3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10</v>
      </c>
      <c r="S29" s="61">
        <f>D29/1000*R29</f>
        <v>0.03</v>
      </c>
    </row>
    <row r="30" spans="2:19" ht="18.75" x14ac:dyDescent="0.3">
      <c r="B30" s="33"/>
      <c r="C30" s="52"/>
      <c r="D30" s="61"/>
      <c r="E30" s="40"/>
      <c r="F30" s="61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61"/>
    </row>
    <row r="31" spans="2:19" ht="23.25" x14ac:dyDescent="0.35">
      <c r="B31" s="62"/>
      <c r="C31" s="63" t="s">
        <v>27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>
        <f>S29+S27+S25+S23+S19+S17+S10</f>
        <v>60.99</v>
      </c>
    </row>
  </sheetData>
  <mergeCells count="27">
    <mergeCell ref="C28:S28"/>
    <mergeCell ref="C2:C3"/>
    <mergeCell ref="J2:J4"/>
    <mergeCell ref="K2:M2"/>
    <mergeCell ref="N2:Q2"/>
    <mergeCell ref="S2:S4"/>
    <mergeCell ref="Q3:Q4"/>
    <mergeCell ref="C5:S5"/>
    <mergeCell ref="C11:S11"/>
    <mergeCell ref="C18:S18"/>
    <mergeCell ref="C20:S20"/>
    <mergeCell ref="C24:S24"/>
    <mergeCell ref="C26:S26"/>
    <mergeCell ref="R2:R4"/>
    <mergeCell ref="K3:K4"/>
    <mergeCell ref="L3:L4"/>
    <mergeCell ref="M3:M4"/>
    <mergeCell ref="N3:N4"/>
    <mergeCell ref="O3:O4"/>
    <mergeCell ref="P3:P4"/>
    <mergeCell ref="G2:G4"/>
    <mergeCell ref="H2:H4"/>
    <mergeCell ref="I2:I4"/>
    <mergeCell ref="B2:B3"/>
    <mergeCell ref="D2:D4"/>
    <mergeCell ref="E2:E4"/>
    <mergeCell ref="F2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2022-02-12T05:34:24Z</dcterms:modified>
</cp:coreProperties>
</file>