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29" i="1" l="1"/>
  <c r="E29" i="1"/>
  <c r="R27" i="1"/>
  <c r="H27" i="1"/>
  <c r="F27" i="1"/>
  <c r="E27" i="1"/>
  <c r="I27" i="1" s="1"/>
  <c r="O25" i="1"/>
  <c r="N25" i="1"/>
  <c r="L25" i="1"/>
  <c r="K25" i="1"/>
  <c r="J25" i="1"/>
  <c r="I25" i="1"/>
  <c r="G25" i="1"/>
  <c r="F25" i="1"/>
  <c r="D25" i="1"/>
  <c r="C25" i="1"/>
  <c r="R24" i="1"/>
  <c r="P24" i="1"/>
  <c r="P25" i="1" s="1"/>
  <c r="M24" i="1"/>
  <c r="M25" i="1" s="1"/>
  <c r="I24" i="1"/>
  <c r="H24" i="1"/>
  <c r="H25" i="1" s="1"/>
  <c r="R23" i="1"/>
  <c r="R25" i="1" s="1"/>
  <c r="P23" i="1"/>
  <c r="N23" i="1"/>
  <c r="L23" i="1"/>
  <c r="J23" i="1"/>
  <c r="H23" i="1"/>
  <c r="F23" i="1"/>
  <c r="E23" i="1"/>
  <c r="O23" i="1" s="1"/>
  <c r="R21" i="1"/>
  <c r="E21" i="1"/>
  <c r="P21" i="1" s="1"/>
  <c r="L19" i="1"/>
  <c r="C19" i="1"/>
  <c r="R18" i="1"/>
  <c r="J18" i="1"/>
  <c r="I18" i="1"/>
  <c r="G18" i="1"/>
  <c r="R17" i="1"/>
  <c r="D17" i="1"/>
  <c r="E17" i="1" s="1"/>
  <c r="R16" i="1"/>
  <c r="J16" i="1"/>
  <c r="G16" i="1"/>
  <c r="E16" i="1"/>
  <c r="I16" i="1" s="1"/>
  <c r="R15" i="1"/>
  <c r="R19" i="1" s="1"/>
  <c r="D15" i="1"/>
  <c r="E15" i="1" s="1"/>
  <c r="L13" i="1"/>
  <c r="C13" i="1"/>
  <c r="R12" i="1"/>
  <c r="J12" i="1"/>
  <c r="G12" i="1"/>
  <c r="E12" i="1"/>
  <c r="I12" i="1" s="1"/>
  <c r="R11" i="1"/>
  <c r="M11" i="1"/>
  <c r="E11" i="1"/>
  <c r="P11" i="1" s="1"/>
  <c r="R10" i="1"/>
  <c r="D10" i="1"/>
  <c r="E10" i="1" s="1"/>
  <c r="R9" i="1"/>
  <c r="E9" i="1"/>
  <c r="O9" i="1" s="1"/>
  <c r="R8" i="1"/>
  <c r="E8" i="1"/>
  <c r="O8" i="1" s="1"/>
  <c r="R7" i="1"/>
  <c r="E7" i="1"/>
  <c r="O7" i="1" s="1"/>
  <c r="D7" i="1"/>
  <c r="R6" i="1"/>
  <c r="R13" i="1" s="1"/>
  <c r="D6" i="1"/>
  <c r="D13" i="1" s="1"/>
  <c r="O10" i="1" l="1"/>
  <c r="M10" i="1"/>
  <c r="J10" i="1"/>
  <c r="H10" i="1"/>
  <c r="P10" i="1"/>
  <c r="N10" i="1"/>
  <c r="K10" i="1"/>
  <c r="I10" i="1"/>
  <c r="F10" i="1"/>
  <c r="E19" i="1"/>
  <c r="P15" i="1"/>
  <c r="N15" i="1"/>
  <c r="K15" i="1"/>
  <c r="I15" i="1"/>
  <c r="G15" i="1"/>
  <c r="O15" i="1"/>
  <c r="M15" i="1"/>
  <c r="J15" i="1"/>
  <c r="H15" i="1"/>
  <c r="F15" i="1"/>
  <c r="P17" i="1"/>
  <c r="N17" i="1"/>
  <c r="K17" i="1"/>
  <c r="I17" i="1"/>
  <c r="G17" i="1"/>
  <c r="O17" i="1"/>
  <c r="M17" i="1"/>
  <c r="J17" i="1"/>
  <c r="H17" i="1"/>
  <c r="F17" i="1"/>
  <c r="R31" i="1"/>
  <c r="G7" i="1"/>
  <c r="I7" i="1"/>
  <c r="K7" i="1"/>
  <c r="N7" i="1"/>
  <c r="P7" i="1"/>
  <c r="G8" i="1"/>
  <c r="I8" i="1"/>
  <c r="K8" i="1"/>
  <c r="N8" i="1"/>
  <c r="P8" i="1"/>
  <c r="G9" i="1"/>
  <c r="I9" i="1"/>
  <c r="K9" i="1"/>
  <c r="N9" i="1"/>
  <c r="P9" i="1"/>
  <c r="H11" i="1"/>
  <c r="J11" i="1"/>
  <c r="O11" i="1"/>
  <c r="D19" i="1"/>
  <c r="G21" i="1"/>
  <c r="I21" i="1"/>
  <c r="M21" i="1"/>
  <c r="O21" i="1"/>
  <c r="E6" i="1"/>
  <c r="F7" i="1"/>
  <c r="H7" i="1"/>
  <c r="J7" i="1"/>
  <c r="M7" i="1"/>
  <c r="F8" i="1"/>
  <c r="H8" i="1"/>
  <c r="J8" i="1"/>
  <c r="M8" i="1"/>
  <c r="F9" i="1"/>
  <c r="H9" i="1"/>
  <c r="J9" i="1"/>
  <c r="M9" i="1"/>
  <c r="F11" i="1"/>
  <c r="I11" i="1"/>
  <c r="K11" i="1"/>
  <c r="N11" i="1"/>
  <c r="F21" i="1"/>
  <c r="H21" i="1"/>
  <c r="J21" i="1"/>
  <c r="N21" i="1"/>
  <c r="G23" i="1"/>
  <c r="I23" i="1"/>
  <c r="K23" i="1"/>
  <c r="M23" i="1"/>
  <c r="G27" i="1"/>
  <c r="K13" i="1" l="1"/>
  <c r="F19" i="1"/>
  <c r="J19" i="1"/>
  <c r="O19" i="1"/>
  <c r="I19" i="1"/>
  <c r="N19" i="1"/>
  <c r="H13" i="1"/>
  <c r="P6" i="1"/>
  <c r="P13" i="1" s="1"/>
  <c r="N6" i="1"/>
  <c r="N13" i="1" s="1"/>
  <c r="J6" i="1"/>
  <c r="J13" i="1" s="1"/>
  <c r="G6" i="1"/>
  <c r="G13" i="1" s="1"/>
  <c r="I6" i="1"/>
  <c r="I13" i="1" s="1"/>
  <c r="O6" i="1"/>
  <c r="O13" i="1" s="1"/>
  <c r="M6" i="1"/>
  <c r="M13" i="1" s="1"/>
  <c r="F6" i="1"/>
  <c r="F13" i="1" s="1"/>
  <c r="H19" i="1"/>
  <c r="M19" i="1"/>
  <c r="G19" i="1"/>
  <c r="K19" i="1"/>
  <c r="P19" i="1"/>
</calcChain>
</file>

<file path=xl/sharedStrings.xml><?xml version="1.0" encoding="utf-8"?>
<sst xmlns="http://schemas.openxmlformats.org/spreadsheetml/2006/main" count="49" uniqueCount="42">
  <si>
    <t>меню для школьников за сентябрь  2021 год</t>
  </si>
  <si>
    <t>февраль</t>
  </si>
  <si>
    <t>2022г</t>
  </si>
  <si>
    <t>Наименование блюда</t>
  </si>
  <si>
    <t xml:space="preserve"> всего грамм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</si>
  <si>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</si>
  <si>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</si>
  <si>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</si>
  <si>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</si>
  <si>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</si>
  <si>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</si>
  <si>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</si>
  <si>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</si>
  <si>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</si>
  <si>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</si>
  <si>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</si>
  <si>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</si>
  <si>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</si>
  <si>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</si>
  <si>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</si>
  <si>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</si>
  <si>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</si>
  <si>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2.02.2022г</t>
  </si>
  <si>
    <t>1.суп с картофелем,мясными фрикадельками</t>
  </si>
  <si>
    <t>мясо говядины</t>
  </si>
  <si>
    <t>картофель</t>
  </si>
  <si>
    <t>морковь</t>
  </si>
  <si>
    <t xml:space="preserve">рис </t>
  </si>
  <si>
    <t>лук</t>
  </si>
  <si>
    <t>томат</t>
  </si>
  <si>
    <t>масло растительное</t>
  </si>
  <si>
    <t>итого</t>
  </si>
  <si>
    <t>2.салат из овощей</t>
  </si>
  <si>
    <t>зел.горох</t>
  </si>
  <si>
    <t>капуста</t>
  </si>
  <si>
    <t>растит. масло</t>
  </si>
  <si>
    <t>3.хлеб</t>
  </si>
  <si>
    <t>4.чай</t>
  </si>
  <si>
    <t>чай</t>
  </si>
  <si>
    <t>сахар</t>
  </si>
  <si>
    <t>5.бананы</t>
  </si>
  <si>
    <t>6.соль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</si>
</sst>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2" fillId="2" borderId="5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2" borderId="3" xfId="0" applyFont="1" applyFill="1" applyBorder="1" applyAlignment="1"/>
    <xf numFmtId="0" fontId="6" fillId="0" borderId="3" xfId="1" applyNumberFormat="1" applyFont="1" applyFill="1" applyBorder="1" applyAlignment="1" applyProtection="1">
      <alignment horizontal="left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7" fillId="0" borderId="3" xfId="0" applyNumberFormat="1" applyFont="1" applyBorder="1"/>
    <xf numFmtId="0" fontId="8" fillId="0" borderId="6" xfId="1" applyNumberFormat="1" applyFont="1" applyFill="1" applyBorder="1" applyAlignment="1" applyProtection="1">
      <alignment horizontal="center" vertical="top" wrapText="1"/>
    </xf>
    <xf numFmtId="0" fontId="8" fillId="0" borderId="7" xfId="1" applyNumberFormat="1" applyFont="1" applyFill="1" applyBorder="1" applyAlignment="1" applyProtection="1">
      <alignment horizontal="center" vertical="top" wrapText="1"/>
    </xf>
    <xf numFmtId="0" fontId="8" fillId="0" borderId="8" xfId="1" applyNumberFormat="1" applyFont="1" applyFill="1" applyBorder="1" applyAlignment="1" applyProtection="1">
      <alignment horizontal="center" vertical="top" wrapText="1"/>
    </xf>
    <xf numFmtId="0" fontId="9" fillId="0" borderId="3" xfId="0" applyFont="1" applyBorder="1"/>
    <xf numFmtId="0" fontId="0" fillId="0" borderId="3" xfId="0" applyBorder="1"/>
    <xf numFmtId="2" fontId="0" fillId="0" borderId="3" xfId="0" applyNumberFormat="1" applyBorder="1"/>
    <xf numFmtId="1" fontId="1" fillId="0" borderId="3" xfId="0" applyNumberFormat="1" applyFont="1" applyBorder="1"/>
    <xf numFmtId="1" fontId="9" fillId="0" borderId="3" xfId="0" applyNumberFormat="1" applyFont="1" applyBorder="1"/>
    <xf numFmtId="0" fontId="10" fillId="0" borderId="3" xfId="0" applyFont="1" applyBorder="1"/>
    <xf numFmtId="2" fontId="11" fillId="0" borderId="3" xfId="0" applyNumberFormat="1" applyFont="1" applyBorder="1" applyAlignment="1">
      <alignment vertical="center"/>
    </xf>
    <xf numFmtId="164" fontId="0" fillId="0" borderId="3" xfId="0" applyNumberFormat="1" applyBorder="1"/>
    <xf numFmtId="2" fontId="9" fillId="0" borderId="3" xfId="0" applyNumberFormat="1" applyFont="1" applyBorder="1"/>
    <xf numFmtId="2" fontId="12" fillId="0" borderId="3" xfId="0" applyNumberFormat="1" applyFont="1" applyBorder="1"/>
    <xf numFmtId="1" fontId="13" fillId="0" borderId="3" xfId="0" applyNumberFormat="1" applyFont="1" applyBorder="1"/>
    <xf numFmtId="2" fontId="13" fillId="0" borderId="6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4" fillId="2" borderId="3" xfId="1" applyNumberFormat="1" applyFont="1" applyFill="1" applyBorder="1" applyAlignment="1" applyProtection="1">
      <alignment vertical="center" wrapText="1"/>
    </xf>
    <xf numFmtId="2" fontId="9" fillId="0" borderId="5" xfId="0" applyNumberFormat="1" applyFont="1" applyBorder="1" applyAlignment="1">
      <alignment vertical="center"/>
    </xf>
    <xf numFmtId="2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6" fillId="0" borderId="3" xfId="1" applyNumberFormat="1" applyFont="1" applyFill="1" applyBorder="1" applyAlignment="1" applyProtection="1">
      <alignment horizontal="left" vertical="top" wrapText="1"/>
    </xf>
    <xf numFmtId="2" fontId="15" fillId="0" borderId="3" xfId="0" applyNumberFormat="1" applyFont="1" applyBorder="1"/>
    <xf numFmtId="2" fontId="16" fillId="0" borderId="6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2" fontId="18" fillId="0" borderId="7" xfId="0" applyNumberFormat="1" applyFont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64" fontId="12" fillId="0" borderId="3" xfId="0" applyNumberFormat="1" applyFont="1" applyBorder="1"/>
    <xf numFmtId="2" fontId="19" fillId="0" borderId="3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N3" sqref="N3:N4"/>
    </sheetView>
  </sheetViews>
  <sheetFormatPr defaultRowHeight="15" x14ac:dyDescent="0.25"/>
  <sheetData>
    <row r="1" spans="1:18" ht="18.75" x14ac:dyDescent="0.3">
      <c r="A1" s="1"/>
      <c r="B1" s="2"/>
      <c r="C1" s="2"/>
      <c r="D1" s="2" t="s">
        <v>0</v>
      </c>
      <c r="E1" s="2" t="s">
        <v>1</v>
      </c>
      <c r="F1" s="2" t="s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x14ac:dyDescent="0.25">
      <c r="A2" s="3"/>
      <c r="B2" s="4" t="s">
        <v>3</v>
      </c>
      <c r="C2" s="5" t="s">
        <v>4</v>
      </c>
      <c r="D2" s="6" t="s">
        <v>5</v>
      </c>
      <c r="E2" s="6" t="s">
        <v>6</v>
      </c>
      <c r="F2" s="7" t="s">
        <v>7</v>
      </c>
      <c r="G2" s="7" t="s">
        <v>8</v>
      </c>
      <c r="H2" s="8" t="s">
        <v>9</v>
      </c>
      <c r="I2" s="7" t="s">
        <v>10</v>
      </c>
      <c r="J2" s="9" t="s">
        <v>11</v>
      </c>
      <c r="K2" s="9"/>
      <c r="L2" s="9"/>
      <c r="M2" s="9" t="s">
        <v>12</v>
      </c>
      <c r="N2" s="9"/>
      <c r="O2" s="9"/>
      <c r="P2" s="9"/>
      <c r="Q2" s="7" t="s">
        <v>13</v>
      </c>
      <c r="R2" s="10" t="s">
        <v>14</v>
      </c>
    </row>
    <row r="3" spans="1:18" x14ac:dyDescent="0.25">
      <c r="A3" s="11"/>
      <c r="B3" s="4"/>
      <c r="C3" s="12"/>
      <c r="D3" s="13"/>
      <c r="E3" s="13"/>
      <c r="F3" s="14"/>
      <c r="G3" s="14"/>
      <c r="H3" s="15"/>
      <c r="I3" s="14"/>
      <c r="J3" s="7" t="s">
        <v>15</v>
      </c>
      <c r="K3" s="6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14"/>
      <c r="R3" s="16"/>
    </row>
    <row r="4" spans="1:18" ht="37.5" x14ac:dyDescent="0.3">
      <c r="A4" s="17"/>
      <c r="B4" s="18" t="s">
        <v>22</v>
      </c>
      <c r="C4" s="19"/>
      <c r="D4" s="20"/>
      <c r="E4" s="20"/>
      <c r="F4" s="21"/>
      <c r="G4" s="21"/>
      <c r="H4" s="22"/>
      <c r="I4" s="21"/>
      <c r="J4" s="21"/>
      <c r="K4" s="20"/>
      <c r="L4" s="21"/>
      <c r="M4" s="21"/>
      <c r="N4" s="21"/>
      <c r="O4" s="21"/>
      <c r="P4" s="21"/>
      <c r="Q4" s="21"/>
      <c r="R4" s="23"/>
    </row>
    <row r="5" spans="1:18" ht="21" x14ac:dyDescent="0.35">
      <c r="A5" s="24"/>
      <c r="B5" s="25" t="s">
        <v>23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</row>
    <row r="6" spans="1:18" ht="18.75" x14ac:dyDescent="0.3">
      <c r="A6" s="28"/>
      <c r="B6" s="29" t="s">
        <v>24</v>
      </c>
      <c r="C6" s="30">
        <v>85</v>
      </c>
      <c r="D6" s="30">
        <f>C6*26.4%</f>
        <v>22.44</v>
      </c>
      <c r="E6" s="30">
        <f>SUM(C6-D6)</f>
        <v>62.56</v>
      </c>
      <c r="F6" s="30">
        <f>E6*18.6%</f>
        <v>11.636160000000002</v>
      </c>
      <c r="G6" s="30">
        <f>E6*16%</f>
        <v>10.009600000000001</v>
      </c>
      <c r="H6" s="30">
        <v>0</v>
      </c>
      <c r="I6" s="30">
        <f>E6*218%</f>
        <v>136.38080000000002</v>
      </c>
      <c r="J6" s="30">
        <f>E6*0.06%</f>
        <v>3.7536E-2</v>
      </c>
      <c r="K6" s="30">
        <v>0</v>
      </c>
      <c r="L6" s="30">
        <v>0</v>
      </c>
      <c r="M6" s="30">
        <f>E6*9%</f>
        <v>5.6303999999999998</v>
      </c>
      <c r="N6" s="30">
        <f>E6*188%</f>
        <v>117.61279999999999</v>
      </c>
      <c r="O6" s="30">
        <f>E6*22%</f>
        <v>13.763200000000001</v>
      </c>
      <c r="P6" s="30">
        <f>E6*2.7%</f>
        <v>1.6891200000000002</v>
      </c>
      <c r="Q6" s="30">
        <v>390</v>
      </c>
      <c r="R6" s="30">
        <f t="shared" ref="R6:R12" si="0">C6/1000*Q6</f>
        <v>33.150000000000006</v>
      </c>
    </row>
    <row r="7" spans="1:18" ht="18.75" x14ac:dyDescent="0.3">
      <c r="A7" s="31"/>
      <c r="B7" s="29" t="s">
        <v>25</v>
      </c>
      <c r="C7" s="30">
        <v>60</v>
      </c>
      <c r="D7" s="30">
        <f>C7*0.25</f>
        <v>15</v>
      </c>
      <c r="E7" s="30">
        <f>C7-D7</f>
        <v>45</v>
      </c>
      <c r="F7" s="30">
        <f>E7*2%</f>
        <v>0.9</v>
      </c>
      <c r="G7" s="30">
        <f>E7*0.4%</f>
        <v>0.18</v>
      </c>
      <c r="H7" s="30">
        <f>E7*16.3%</f>
        <v>7.335</v>
      </c>
      <c r="I7" s="30">
        <f>E7*80%</f>
        <v>36</v>
      </c>
      <c r="J7" s="30">
        <f>E7*0.12%</f>
        <v>5.3999999999999992E-2</v>
      </c>
      <c r="K7" s="30">
        <f>E7*20%</f>
        <v>9</v>
      </c>
      <c r="L7" s="30">
        <v>0</v>
      </c>
      <c r="M7" s="30">
        <f>E7*10%</f>
        <v>4.5</v>
      </c>
      <c r="N7" s="30">
        <f>E7*58%</f>
        <v>26.099999999999998</v>
      </c>
      <c r="O7" s="30">
        <f>E7*23%</f>
        <v>10.35</v>
      </c>
      <c r="P7" s="30">
        <f>E7*0.9%</f>
        <v>0.40500000000000003</v>
      </c>
      <c r="Q7" s="30">
        <v>50</v>
      </c>
      <c r="R7" s="30">
        <f t="shared" si="0"/>
        <v>3</v>
      </c>
    </row>
    <row r="8" spans="1:18" ht="18.75" x14ac:dyDescent="0.3">
      <c r="A8" s="28"/>
      <c r="B8" s="29" t="s">
        <v>26</v>
      </c>
      <c r="C8" s="30">
        <v>10</v>
      </c>
      <c r="D8" s="30">
        <v>5</v>
      </c>
      <c r="E8" s="30">
        <f>C8-D8</f>
        <v>5</v>
      </c>
      <c r="F8" s="30">
        <f>E8*1.3%</f>
        <v>6.5000000000000002E-2</v>
      </c>
      <c r="G8" s="30">
        <f>E8*0.1%</f>
        <v>5.0000000000000001E-3</v>
      </c>
      <c r="H8" s="30">
        <f>E8*7.2%</f>
        <v>0.36000000000000004</v>
      </c>
      <c r="I8" s="30">
        <f>E8*30%</f>
        <v>1.5</v>
      </c>
      <c r="J8" s="30">
        <f>E8*0.06%</f>
        <v>2.9999999999999996E-3</v>
      </c>
      <c r="K8" s="30">
        <f>E8*5%</f>
        <v>0.25</v>
      </c>
      <c r="L8" s="30">
        <v>0</v>
      </c>
      <c r="M8" s="30">
        <f>E8*51%</f>
        <v>2.5499999999999998</v>
      </c>
      <c r="N8" s="30">
        <f>E8*55%</f>
        <v>2.75</v>
      </c>
      <c r="O8" s="30">
        <f>E8*38%</f>
        <v>1.9</v>
      </c>
      <c r="P8" s="30">
        <f>E8*0.7%</f>
        <v>3.4999999999999996E-2</v>
      </c>
      <c r="Q8" s="30">
        <v>55</v>
      </c>
      <c r="R8" s="30">
        <f t="shared" si="0"/>
        <v>0.55000000000000004</v>
      </c>
    </row>
    <row r="9" spans="1:18" ht="18.75" x14ac:dyDescent="0.3">
      <c r="A9" s="32"/>
      <c r="B9" s="29" t="s">
        <v>27</v>
      </c>
      <c r="C9" s="30">
        <v>22</v>
      </c>
      <c r="D9" s="30">
        <v>0</v>
      </c>
      <c r="E9" s="30">
        <f>C9-D9</f>
        <v>22</v>
      </c>
      <c r="F9" s="30">
        <f>E9*2%</f>
        <v>0.44</v>
      </c>
      <c r="G9" s="30">
        <f>E9*0.4%</f>
        <v>8.7999999999999995E-2</v>
      </c>
      <c r="H9" s="30">
        <f>E9*16.3%</f>
        <v>3.5860000000000003</v>
      </c>
      <c r="I9" s="30">
        <f>E9*80%</f>
        <v>17.600000000000001</v>
      </c>
      <c r="J9" s="30">
        <f>E9*0.12%</f>
        <v>2.6399999999999996E-2</v>
      </c>
      <c r="K9" s="30">
        <f>E9*20%</f>
        <v>4.4000000000000004</v>
      </c>
      <c r="L9" s="30">
        <v>0</v>
      </c>
      <c r="M9" s="30">
        <f>E9*10%</f>
        <v>2.2000000000000002</v>
      </c>
      <c r="N9" s="30">
        <f>E9*58%</f>
        <v>12.76</v>
      </c>
      <c r="O9" s="30">
        <f>E9*23%</f>
        <v>5.0600000000000005</v>
      </c>
      <c r="P9" s="30">
        <f>E9*0.9%</f>
        <v>0.19800000000000001</v>
      </c>
      <c r="Q9" s="30">
        <v>135</v>
      </c>
      <c r="R9" s="30">
        <f t="shared" si="0"/>
        <v>2.9699999999999998</v>
      </c>
    </row>
    <row r="10" spans="1:18" ht="18.75" x14ac:dyDescent="0.3">
      <c r="A10" s="28"/>
      <c r="B10" s="29" t="s">
        <v>28</v>
      </c>
      <c r="C10" s="30">
        <v>15</v>
      </c>
      <c r="D10" s="30">
        <f>C10*0.16</f>
        <v>2.4</v>
      </c>
      <c r="E10" s="30">
        <f>C10-D10</f>
        <v>12.6</v>
      </c>
      <c r="F10" s="30">
        <f>E10*1.4%</f>
        <v>0.17639999999999997</v>
      </c>
      <c r="G10">
        <v>0</v>
      </c>
      <c r="H10" s="30">
        <f>E10*9.1%</f>
        <v>1.1465999999999998</v>
      </c>
      <c r="I10" s="30">
        <f>E10*41%</f>
        <v>5.1659999999999995</v>
      </c>
      <c r="J10" s="30">
        <f>E10*0.05%</f>
        <v>6.3E-3</v>
      </c>
      <c r="K10" s="30">
        <f>E10*10%</f>
        <v>1.26</v>
      </c>
      <c r="L10" s="30">
        <v>0</v>
      </c>
      <c r="M10" s="30">
        <f>E10*31%</f>
        <v>3.9059999999999997</v>
      </c>
      <c r="N10" s="30">
        <f>E10*58%</f>
        <v>7.3079999999999989</v>
      </c>
      <c r="O10" s="30">
        <f>E10*14%</f>
        <v>1.764</v>
      </c>
      <c r="P10" s="30">
        <f>E10*0.8%</f>
        <v>0.1008</v>
      </c>
      <c r="Q10" s="30">
        <v>35</v>
      </c>
      <c r="R10" s="30">
        <f t="shared" si="0"/>
        <v>0.52500000000000002</v>
      </c>
    </row>
    <row r="11" spans="1:18" x14ac:dyDescent="0.25">
      <c r="A11" s="33"/>
      <c r="B11" s="34" t="s">
        <v>29</v>
      </c>
      <c r="C11" s="34">
        <v>5</v>
      </c>
      <c r="D11" s="34">
        <v>0</v>
      </c>
      <c r="E11" s="34">
        <f>SUM(C11:D11)</f>
        <v>5</v>
      </c>
      <c r="F11" s="34">
        <f>E11*1%</f>
        <v>0.05</v>
      </c>
      <c r="G11" s="34">
        <v>0</v>
      </c>
      <c r="H11" s="34">
        <f>E11*3.5%</f>
        <v>0.17500000000000002</v>
      </c>
      <c r="I11" s="34">
        <f>E11*19%</f>
        <v>0.95</v>
      </c>
      <c r="J11" s="34">
        <f>E11*0.03%</f>
        <v>1.4999999999999998E-3</v>
      </c>
      <c r="K11" s="34">
        <f>E11*10%</f>
        <v>0.5</v>
      </c>
      <c r="L11" s="34">
        <v>0</v>
      </c>
      <c r="M11" s="34">
        <f>C11*7%</f>
        <v>0.35000000000000003</v>
      </c>
      <c r="N11" s="34">
        <f>E11*32%</f>
        <v>1.6</v>
      </c>
      <c r="O11" s="34">
        <f>E11*12%</f>
        <v>0.6</v>
      </c>
      <c r="P11" s="34">
        <f>E11*0.7%</f>
        <v>3.4999999999999996E-2</v>
      </c>
      <c r="Q11" s="34">
        <v>110</v>
      </c>
      <c r="R11" s="34">
        <f t="shared" si="0"/>
        <v>0.55000000000000004</v>
      </c>
    </row>
    <row r="12" spans="1:18" ht="18.75" x14ac:dyDescent="0.3">
      <c r="A12" s="28"/>
      <c r="B12" s="29" t="s">
        <v>30</v>
      </c>
      <c r="C12" s="30">
        <v>5</v>
      </c>
      <c r="D12" s="30">
        <v>0</v>
      </c>
      <c r="E12" s="30">
        <f>SUM(C12:D12)</f>
        <v>5</v>
      </c>
      <c r="F12" s="30">
        <v>0</v>
      </c>
      <c r="G12" s="35">
        <f>E12*0.999</f>
        <v>4.9950000000000001</v>
      </c>
      <c r="H12" s="30">
        <v>0</v>
      </c>
      <c r="I12" s="30">
        <f>E12*8.99%</f>
        <v>0.44950000000000001</v>
      </c>
      <c r="J12" s="30">
        <f>E12*0.06%</f>
        <v>2.9999999999999996E-3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145</v>
      </c>
      <c r="R12" s="30">
        <f t="shared" si="0"/>
        <v>0.72499999999999998</v>
      </c>
    </row>
    <row r="13" spans="1:18" ht="18.75" x14ac:dyDescent="0.3">
      <c r="A13" s="32"/>
      <c r="B13" s="36" t="s">
        <v>31</v>
      </c>
      <c r="C13" s="37">
        <f t="shared" ref="C13:D13" si="1">SUM(C6:C12)</f>
        <v>202</v>
      </c>
      <c r="D13" s="37">
        <f t="shared" si="1"/>
        <v>44.839999999999996</v>
      </c>
      <c r="E13" s="37">
        <v>250</v>
      </c>
      <c r="F13" s="37">
        <f t="shared" ref="F13:P13" si="2">SUM(F6:F12)</f>
        <v>13.267560000000001</v>
      </c>
      <c r="G13" s="37">
        <f t="shared" si="2"/>
        <v>15.2776</v>
      </c>
      <c r="H13" s="37">
        <f t="shared" si="2"/>
        <v>12.602600000000001</v>
      </c>
      <c r="I13" s="37">
        <f t="shared" si="2"/>
        <v>198.0463</v>
      </c>
      <c r="J13" s="37">
        <f t="shared" si="2"/>
        <v>0.13173599999999999</v>
      </c>
      <c r="K13" s="37">
        <f t="shared" si="2"/>
        <v>15.41</v>
      </c>
      <c r="L13" s="37">
        <f t="shared" si="2"/>
        <v>0</v>
      </c>
      <c r="M13" s="37">
        <f t="shared" si="2"/>
        <v>19.136399999999998</v>
      </c>
      <c r="N13" s="37">
        <f t="shared" si="2"/>
        <v>168.13079999999997</v>
      </c>
      <c r="O13" s="37">
        <f t="shared" si="2"/>
        <v>33.437200000000004</v>
      </c>
      <c r="P13" s="37">
        <f t="shared" si="2"/>
        <v>2.4629200000000004</v>
      </c>
      <c r="Q13" s="37"/>
      <c r="R13" s="37">
        <f>SUM(R6:R12)</f>
        <v>41.47</v>
      </c>
    </row>
    <row r="14" spans="1:18" ht="21" x14ac:dyDescent="0.35">
      <c r="A14" s="38"/>
      <c r="B14" s="39" t="s">
        <v>32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</row>
    <row r="15" spans="1:18" ht="18.75" x14ac:dyDescent="0.3">
      <c r="A15" s="31"/>
      <c r="B15" s="42" t="s">
        <v>26</v>
      </c>
      <c r="C15" s="30">
        <v>15</v>
      </c>
      <c r="D15" s="30">
        <f>C15*0.2</f>
        <v>3</v>
      </c>
      <c r="E15" s="30">
        <f>C15-D15</f>
        <v>12</v>
      </c>
      <c r="F15" s="30">
        <f>E15*1.3%</f>
        <v>0.15600000000000003</v>
      </c>
      <c r="G15" s="35">
        <f>E15*0.001</f>
        <v>1.2E-2</v>
      </c>
      <c r="H15" s="30">
        <f>E15*0.072</f>
        <v>0.86399999999999988</v>
      </c>
      <c r="I15" s="30">
        <f>E15*0.3</f>
        <v>3.5999999999999996</v>
      </c>
      <c r="J15" s="30">
        <f>E15*0.06%</f>
        <v>7.1999999999999998E-3</v>
      </c>
      <c r="K15" s="30">
        <f>E15*5%</f>
        <v>0.60000000000000009</v>
      </c>
      <c r="L15" s="30">
        <v>0</v>
      </c>
      <c r="M15" s="30">
        <f>E15*51%</f>
        <v>6.12</v>
      </c>
      <c r="N15" s="30">
        <f>E15*55%</f>
        <v>6.6000000000000005</v>
      </c>
      <c r="O15" s="30">
        <f>E15*38%</f>
        <v>4.5600000000000005</v>
      </c>
      <c r="P15" s="30">
        <f>E15*0.7%</f>
        <v>8.3999999999999991E-2</v>
      </c>
      <c r="Q15" s="30">
        <v>55</v>
      </c>
      <c r="R15" s="29">
        <f>C15/1000*Q15</f>
        <v>0.82499999999999996</v>
      </c>
    </row>
    <row r="16" spans="1:18" ht="31.5" x14ac:dyDescent="0.25">
      <c r="A16" s="43"/>
      <c r="B16" s="42" t="s">
        <v>33</v>
      </c>
      <c r="C16" s="44">
        <v>20</v>
      </c>
      <c r="D16" s="44">
        <v>0</v>
      </c>
      <c r="E16" s="44">
        <f>C16-D16</f>
        <v>20</v>
      </c>
      <c r="F16" s="44">
        <v>0</v>
      </c>
      <c r="G16" s="45">
        <f>E16*0.999</f>
        <v>19.98</v>
      </c>
      <c r="H16" s="44">
        <v>0</v>
      </c>
      <c r="I16" s="44">
        <f>E16*8.99</f>
        <v>179.8</v>
      </c>
      <c r="J16" s="44">
        <f>E16*0.06%</f>
        <v>1.1999999999999999E-2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58</v>
      </c>
      <c r="R16" s="44">
        <f>C16/1000*Q16</f>
        <v>1.1599999999999999</v>
      </c>
    </row>
    <row r="17" spans="1:18" ht="18.75" x14ac:dyDescent="0.3">
      <c r="A17" s="31"/>
      <c r="B17" s="42" t="s">
        <v>34</v>
      </c>
      <c r="C17" s="30">
        <v>30</v>
      </c>
      <c r="D17" s="30">
        <f>C17*0.2</f>
        <v>6</v>
      </c>
      <c r="E17" s="30">
        <f>C17-D17</f>
        <v>24</v>
      </c>
      <c r="F17" s="30">
        <f>E17*0.018</f>
        <v>0.43199999999999994</v>
      </c>
      <c r="G17" s="35">
        <f>E17*0.001</f>
        <v>2.4E-2</v>
      </c>
      <c r="H17" s="30">
        <f>E17*0.047</f>
        <v>1.1280000000000001</v>
      </c>
      <c r="I17" s="30">
        <f>E17*0.27</f>
        <v>6.48</v>
      </c>
      <c r="J17" s="30">
        <f>E17*0.03%</f>
        <v>7.1999999999999998E-3</v>
      </c>
      <c r="K17" s="30">
        <f>E17*45%</f>
        <v>10.8</v>
      </c>
      <c r="L17" s="30">
        <v>0</v>
      </c>
      <c r="M17" s="30">
        <f>E17*48%</f>
        <v>11.52</v>
      </c>
      <c r="N17" s="30">
        <f>E17*31%</f>
        <v>7.4399999999999995</v>
      </c>
      <c r="O17" s="30">
        <f>E17*16%</f>
        <v>3.84</v>
      </c>
      <c r="P17" s="30">
        <f>E17*0.6%</f>
        <v>0.14400000000000002</v>
      </c>
      <c r="Q17" s="30">
        <v>25</v>
      </c>
      <c r="R17" s="29">
        <f>C17/1000*Q17</f>
        <v>0.75</v>
      </c>
    </row>
    <row r="18" spans="1:18" ht="31.5" x14ac:dyDescent="0.3">
      <c r="A18" s="31"/>
      <c r="B18" s="42" t="s">
        <v>35</v>
      </c>
      <c r="C18" s="30">
        <v>5</v>
      </c>
      <c r="D18" s="30">
        <v>0</v>
      </c>
      <c r="E18" s="30">
        <v>3</v>
      </c>
      <c r="F18" s="30">
        <v>0</v>
      </c>
      <c r="G18" s="35">
        <f>E18*0.999</f>
        <v>2.9969999999999999</v>
      </c>
      <c r="H18" s="30">
        <v>0</v>
      </c>
      <c r="I18" s="30">
        <f>E18*8.99%</f>
        <v>0.26970000000000005</v>
      </c>
      <c r="J18" s="30">
        <f>E18*0.06%</f>
        <v>1.8E-3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145</v>
      </c>
      <c r="R18" s="29">
        <f>C18/1000*Q18</f>
        <v>0.72499999999999998</v>
      </c>
    </row>
    <row r="19" spans="1:18" ht="18.75" x14ac:dyDescent="0.3">
      <c r="A19" s="31"/>
      <c r="B19" s="46" t="s">
        <v>31</v>
      </c>
      <c r="C19" s="47">
        <f>SUM(C15:C18)</f>
        <v>70</v>
      </c>
      <c r="D19" s="47">
        <f t="shared" ref="D19:P19" si="3">SUM(D15:D18)</f>
        <v>9</v>
      </c>
      <c r="E19" s="47">
        <f t="shared" si="3"/>
        <v>59</v>
      </c>
      <c r="F19" s="47">
        <f t="shared" si="3"/>
        <v>0.58799999999999997</v>
      </c>
      <c r="G19" s="47">
        <f t="shared" si="3"/>
        <v>23.013000000000002</v>
      </c>
      <c r="H19" s="47">
        <f t="shared" si="3"/>
        <v>1.992</v>
      </c>
      <c r="I19" s="47">
        <f t="shared" si="3"/>
        <v>190.1497</v>
      </c>
      <c r="J19" s="47">
        <f t="shared" si="3"/>
        <v>2.8199999999999999E-2</v>
      </c>
      <c r="K19" s="47">
        <f t="shared" si="3"/>
        <v>11.4</v>
      </c>
      <c r="L19" s="47">
        <f t="shared" si="3"/>
        <v>0</v>
      </c>
      <c r="M19" s="47">
        <f t="shared" si="3"/>
        <v>17.64</v>
      </c>
      <c r="N19" s="47">
        <f t="shared" si="3"/>
        <v>14.04</v>
      </c>
      <c r="O19" s="47">
        <f t="shared" si="3"/>
        <v>8.4</v>
      </c>
      <c r="P19" s="47">
        <f t="shared" si="3"/>
        <v>0.22800000000000001</v>
      </c>
      <c r="Q19" s="47"/>
      <c r="R19" s="47">
        <f>SUM(R15:R18)</f>
        <v>3.46</v>
      </c>
    </row>
    <row r="20" spans="1:18" ht="21" x14ac:dyDescent="0.35">
      <c r="A20" s="24"/>
      <c r="B20" s="48" t="s">
        <v>36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pans="1:18" ht="18.75" x14ac:dyDescent="0.3">
      <c r="A21" s="31"/>
      <c r="B21" s="36" t="s">
        <v>31</v>
      </c>
      <c r="C21" s="37">
        <v>50</v>
      </c>
      <c r="D21" s="37">
        <v>0</v>
      </c>
      <c r="E21" s="37">
        <f>C21-D21</f>
        <v>50</v>
      </c>
      <c r="F21" s="37">
        <f>E21*7.9%</f>
        <v>3.95</v>
      </c>
      <c r="G21" s="37">
        <f>E21*1%</f>
        <v>0.5</v>
      </c>
      <c r="H21" s="37">
        <f>E21*48.1%</f>
        <v>24.05</v>
      </c>
      <c r="I21" s="37">
        <f>E21*239%</f>
        <v>119.5</v>
      </c>
      <c r="J21" s="37">
        <f>E21*0.16%</f>
        <v>0.08</v>
      </c>
      <c r="K21" s="37">
        <v>0</v>
      </c>
      <c r="L21" s="37">
        <v>0</v>
      </c>
      <c r="M21" s="37">
        <f>E21*23%</f>
        <v>11.5</v>
      </c>
      <c r="N21" s="37">
        <f>E21*87%</f>
        <v>43.5</v>
      </c>
      <c r="O21" s="37">
        <f>E21*33%</f>
        <v>16.5</v>
      </c>
      <c r="P21" s="37">
        <f>E21*2%</f>
        <v>1</v>
      </c>
      <c r="Q21" s="37">
        <v>50</v>
      </c>
      <c r="R21" s="37">
        <f>C21/1000*50</f>
        <v>2.5</v>
      </c>
    </row>
    <row r="22" spans="1:18" ht="21" x14ac:dyDescent="0.35">
      <c r="A22" s="24"/>
      <c r="B22" s="48" t="s">
        <v>37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0"/>
    </row>
    <row r="23" spans="1:18" ht="18.75" x14ac:dyDescent="0.3">
      <c r="A23" s="32"/>
      <c r="B23" s="30" t="s">
        <v>38</v>
      </c>
      <c r="C23" s="30">
        <v>1</v>
      </c>
      <c r="D23" s="30">
        <v>0</v>
      </c>
      <c r="E23" s="30">
        <f>C23-D23</f>
        <v>1</v>
      </c>
      <c r="F23" s="30">
        <f>E23*21.74%</f>
        <v>0.21739999999999998</v>
      </c>
      <c r="G23" s="30">
        <f>E23*7.61%</f>
        <v>7.6100000000000001E-2</v>
      </c>
      <c r="H23" s="30">
        <f>E23*2.86%</f>
        <v>2.86E-2</v>
      </c>
      <c r="I23" s="30">
        <f>E23*9.18%</f>
        <v>9.1799999999999993E-2</v>
      </c>
      <c r="J23" s="30">
        <f>E23*4.7%</f>
        <v>4.7E-2</v>
      </c>
      <c r="K23" s="30">
        <f>E23*11%</f>
        <v>0.11</v>
      </c>
      <c r="L23" s="30">
        <f>E23*5.6%</f>
        <v>5.5999999999999994E-2</v>
      </c>
      <c r="M23" s="30">
        <f>E23*50%</f>
        <v>0.5</v>
      </c>
      <c r="N23" s="30">
        <f>E23*10%</f>
        <v>0.1</v>
      </c>
      <c r="O23" s="30">
        <f>E23*110%</f>
        <v>1.1000000000000001</v>
      </c>
      <c r="P23" s="30">
        <f>E23*456%</f>
        <v>4.5599999999999996</v>
      </c>
      <c r="Q23" s="30">
        <v>650</v>
      </c>
      <c r="R23" s="30">
        <f>C23/1000*Q23</f>
        <v>0.65</v>
      </c>
    </row>
    <row r="24" spans="1:18" ht="18.75" x14ac:dyDescent="0.3">
      <c r="A24" s="31"/>
      <c r="B24" s="30" t="s">
        <v>39</v>
      </c>
      <c r="C24" s="30">
        <v>15</v>
      </c>
      <c r="D24" s="30">
        <v>0</v>
      </c>
      <c r="E24" s="30">
        <v>15</v>
      </c>
      <c r="F24" s="30">
        <v>0</v>
      </c>
      <c r="G24" s="30">
        <v>0</v>
      </c>
      <c r="H24" s="30">
        <f>E24*99.8%</f>
        <v>14.97</v>
      </c>
      <c r="I24" s="30">
        <f>E24*379%</f>
        <v>56.85</v>
      </c>
      <c r="J24" s="30">
        <v>0</v>
      </c>
      <c r="K24" s="30">
        <v>0</v>
      </c>
      <c r="L24" s="30">
        <v>0</v>
      </c>
      <c r="M24" s="30">
        <f>E24*2%</f>
        <v>0.3</v>
      </c>
      <c r="N24" s="30">
        <v>0</v>
      </c>
      <c r="O24" s="30">
        <v>0</v>
      </c>
      <c r="P24" s="30">
        <f>E24*0.3%</f>
        <v>4.4999999999999998E-2</v>
      </c>
      <c r="Q24" s="30">
        <v>60</v>
      </c>
      <c r="R24" s="30">
        <f>C24/1000*60</f>
        <v>0.89999999999999991</v>
      </c>
    </row>
    <row r="25" spans="1:18" ht="18.75" x14ac:dyDescent="0.3">
      <c r="A25" s="31"/>
      <c r="B25" s="36" t="s">
        <v>31</v>
      </c>
      <c r="C25" s="37">
        <f>SUM(C23:C24)</f>
        <v>16</v>
      </c>
      <c r="D25" s="37">
        <f>SUM(D24:D24)</f>
        <v>0</v>
      </c>
      <c r="E25" s="37">
        <v>150</v>
      </c>
      <c r="F25" s="37">
        <f t="shared" ref="F25:P25" si="4">SUM(F24:F24)</f>
        <v>0</v>
      </c>
      <c r="G25" s="37">
        <f t="shared" si="4"/>
        <v>0</v>
      </c>
      <c r="H25" s="37">
        <f t="shared" si="4"/>
        <v>14.97</v>
      </c>
      <c r="I25" s="37">
        <f t="shared" si="4"/>
        <v>56.85</v>
      </c>
      <c r="J25" s="37">
        <f t="shared" si="4"/>
        <v>0</v>
      </c>
      <c r="K25" s="37">
        <f t="shared" si="4"/>
        <v>0</v>
      </c>
      <c r="L25" s="37">
        <f t="shared" si="4"/>
        <v>0</v>
      </c>
      <c r="M25" s="37">
        <f t="shared" si="4"/>
        <v>0.3</v>
      </c>
      <c r="N25" s="37">
        <f t="shared" si="4"/>
        <v>0</v>
      </c>
      <c r="O25" s="37">
        <f t="shared" si="4"/>
        <v>0</v>
      </c>
      <c r="P25" s="37">
        <f t="shared" si="4"/>
        <v>4.4999999999999998E-2</v>
      </c>
      <c r="Q25" s="37"/>
      <c r="R25" s="37">
        <f>SUM(R23:R24)</f>
        <v>1.5499999999999998</v>
      </c>
    </row>
    <row r="26" spans="1:18" ht="21" x14ac:dyDescent="0.35">
      <c r="A26" s="32"/>
      <c r="B26" s="39" t="s">
        <v>40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2"/>
    </row>
    <row r="27" spans="1:18" ht="18.75" x14ac:dyDescent="0.3">
      <c r="A27" s="32"/>
      <c r="B27" s="36" t="s">
        <v>31</v>
      </c>
      <c r="C27" s="37">
        <v>120</v>
      </c>
      <c r="D27" s="37">
        <v>0</v>
      </c>
      <c r="E27" s="37">
        <f>C27-D27</f>
        <v>120</v>
      </c>
      <c r="F27" s="37">
        <f>E27*1.5%</f>
        <v>1.7999999999999998</v>
      </c>
      <c r="G27" s="37">
        <f>E27*0.5%</f>
        <v>0.6</v>
      </c>
      <c r="H27" s="37">
        <f>E27*21%</f>
        <v>25.2</v>
      </c>
      <c r="I27" s="37">
        <f>E27*96%</f>
        <v>115.19999999999999</v>
      </c>
      <c r="J27" s="37">
        <v>0</v>
      </c>
      <c r="K27" s="37">
        <v>8.6999999999999993</v>
      </c>
      <c r="L27" s="37">
        <v>3</v>
      </c>
      <c r="M27" s="37">
        <v>5</v>
      </c>
      <c r="N27" s="37">
        <v>22</v>
      </c>
      <c r="O27" s="37">
        <v>27</v>
      </c>
      <c r="P27" s="37">
        <v>0.3</v>
      </c>
      <c r="Q27" s="37">
        <v>100</v>
      </c>
      <c r="R27" s="37">
        <f>C27/1000*Q27</f>
        <v>12</v>
      </c>
    </row>
    <row r="28" spans="1:18" ht="21" x14ac:dyDescent="0.35">
      <c r="A28" s="24"/>
      <c r="B28" s="53" t="s">
        <v>41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/>
    </row>
    <row r="29" spans="1:18" ht="18.75" x14ac:dyDescent="0.3">
      <c r="A29" s="31"/>
      <c r="B29" s="36" t="s">
        <v>31</v>
      </c>
      <c r="C29" s="56">
        <v>3</v>
      </c>
      <c r="D29" s="37">
        <v>0</v>
      </c>
      <c r="E29" s="56">
        <f>C29-D29</f>
        <v>3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10</v>
      </c>
      <c r="R29" s="56">
        <f>C29/1000*Q29</f>
        <v>0.03</v>
      </c>
    </row>
    <row r="30" spans="1:18" ht="18.75" x14ac:dyDescent="0.3">
      <c r="A30" s="31"/>
      <c r="B30" s="36"/>
      <c r="C30" s="56"/>
      <c r="D30" s="37"/>
      <c r="E30" s="5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56"/>
    </row>
    <row r="31" spans="1:18" ht="23.25" x14ac:dyDescent="0.35">
      <c r="A31" s="31"/>
      <c r="B31" s="57" t="s">
        <v>31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>
        <f>R29+R27+R25+R21+R19+R13</f>
        <v>61.01</v>
      </c>
    </row>
  </sheetData>
  <mergeCells count="26">
    <mergeCell ref="B26:R26"/>
    <mergeCell ref="B28:R28"/>
    <mergeCell ref="A2:A3"/>
    <mergeCell ref="C2:C4"/>
    <mergeCell ref="J2:L2"/>
    <mergeCell ref="M2:P2"/>
    <mergeCell ref="Q2:Q4"/>
    <mergeCell ref="J3:J4"/>
    <mergeCell ref="B5:R5"/>
    <mergeCell ref="B14:R14"/>
    <mergeCell ref="B20:R20"/>
    <mergeCell ref="B22:R22"/>
    <mergeCell ref="K3:K4"/>
    <mergeCell ref="L3:L4"/>
    <mergeCell ref="M3:M4"/>
    <mergeCell ref="N3:N4"/>
    <mergeCell ref="O3:O4"/>
    <mergeCell ref="P3:P4"/>
    <mergeCell ref="H2:H4"/>
    <mergeCell ref="I2:I4"/>
    <mergeCell ref="R2:R4"/>
    <mergeCell ref="B2:B3"/>
    <mergeCell ref="D2:D4"/>
    <mergeCell ref="E2:E4"/>
    <mergeCell ref="F2:F4"/>
    <mergeCell ref="G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2022-02-12T05:37:16Z</dcterms:modified>
</cp:coreProperties>
</file>