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22" i="1" l="1"/>
  <c r="F22" i="1"/>
  <c r="S20" i="1"/>
  <c r="P20" i="1"/>
  <c r="N20" i="1"/>
  <c r="K20" i="1"/>
  <c r="I20" i="1"/>
  <c r="G20" i="1"/>
  <c r="F20" i="1"/>
  <c r="Q20" i="1" s="1"/>
  <c r="S18" i="1"/>
  <c r="F18" i="1"/>
  <c r="Q18" i="1" s="1"/>
  <c r="Q16" i="1"/>
  <c r="O16" i="1"/>
  <c r="M16" i="1"/>
  <c r="H16" i="1"/>
  <c r="G16" i="1"/>
  <c r="F16" i="1"/>
  <c r="E16" i="1"/>
  <c r="D16" i="1"/>
  <c r="S15" i="1"/>
  <c r="S16" i="1" s="1"/>
  <c r="Q15" i="1"/>
  <c r="P15" i="1"/>
  <c r="P16" i="1" s="1"/>
  <c r="O15" i="1"/>
  <c r="N15" i="1"/>
  <c r="N16" i="1" s="1"/>
  <c r="L15" i="1"/>
  <c r="L16" i="1" s="1"/>
  <c r="K15" i="1"/>
  <c r="K16" i="1" s="1"/>
  <c r="J15" i="1"/>
  <c r="J16" i="1" s="1"/>
  <c r="I15" i="1"/>
  <c r="I16" i="1" s="1"/>
  <c r="G15" i="1"/>
  <c r="S13" i="1"/>
  <c r="Q13" i="1"/>
  <c r="P13" i="1"/>
  <c r="O13" i="1"/>
  <c r="N13" i="1"/>
  <c r="K13" i="1"/>
  <c r="J13" i="1"/>
  <c r="I13" i="1"/>
  <c r="H13" i="1"/>
  <c r="G13" i="1"/>
  <c r="S11" i="1"/>
  <c r="L11" i="1"/>
  <c r="D11" i="1"/>
  <c r="S10" i="1"/>
  <c r="F10" i="1"/>
  <c r="P10" i="1" s="1"/>
  <c r="P11" i="1" s="1"/>
  <c r="E10" i="1"/>
  <c r="E11" i="1" s="1"/>
  <c r="L8" i="1"/>
  <c r="E8" i="1"/>
  <c r="D8" i="1"/>
  <c r="S7" i="1"/>
  <c r="S8" i="1" s="1"/>
  <c r="F7" i="1"/>
  <c r="Q7" i="1" s="1"/>
  <c r="S6" i="1"/>
  <c r="Q6" i="1"/>
  <c r="Q8" i="1" s="1"/>
  <c r="O6" i="1"/>
  <c r="K6" i="1"/>
  <c r="K8" i="1" s="1"/>
  <c r="I6" i="1"/>
  <c r="G6" i="1"/>
  <c r="F6" i="1"/>
  <c r="P6" i="1" s="1"/>
  <c r="P8" i="1" l="1"/>
  <c r="S24" i="1"/>
  <c r="G8" i="1"/>
  <c r="F11" i="1"/>
  <c r="J7" i="1"/>
  <c r="P7" i="1"/>
  <c r="M10" i="1"/>
  <c r="M11" i="1" s="1"/>
  <c r="Q10" i="1"/>
  <c r="Q11" i="1" s="1"/>
  <c r="H18" i="1"/>
  <c r="J18" i="1"/>
  <c r="L18" i="1"/>
  <c r="N18" i="1"/>
  <c r="P18" i="1"/>
  <c r="H7" i="1"/>
  <c r="N7" i="1"/>
  <c r="H10" i="1"/>
  <c r="H11" i="1" s="1"/>
  <c r="J10" i="1"/>
  <c r="J11" i="1" s="1"/>
  <c r="O10" i="1"/>
  <c r="O11" i="1" s="1"/>
  <c r="H6" i="1"/>
  <c r="H8" i="1" s="1"/>
  <c r="J6" i="1"/>
  <c r="N6" i="1"/>
  <c r="N8" i="1" s="1"/>
  <c r="G7" i="1"/>
  <c r="I7" i="1"/>
  <c r="I8" i="1" s="1"/>
  <c r="M7" i="1"/>
  <c r="M8" i="1" s="1"/>
  <c r="O7" i="1"/>
  <c r="O8" i="1" s="1"/>
  <c r="G10" i="1"/>
  <c r="G11" i="1" s="1"/>
  <c r="I10" i="1"/>
  <c r="I11" i="1" s="1"/>
  <c r="K10" i="1"/>
  <c r="K11" i="1" s="1"/>
  <c r="N10" i="1"/>
  <c r="N11" i="1" s="1"/>
  <c r="G18" i="1"/>
  <c r="I18" i="1"/>
  <c r="K18" i="1"/>
  <c r="M18" i="1"/>
  <c r="O18" i="1"/>
  <c r="H20" i="1"/>
  <c r="J20" i="1"/>
  <c r="L20" i="1"/>
  <c r="O20" i="1"/>
  <c r="J8" i="1" l="1"/>
</calcChain>
</file>

<file path=xl/sharedStrings.xml><?xml version="1.0" encoding="utf-8"?>
<sst xmlns="http://schemas.openxmlformats.org/spreadsheetml/2006/main" count="41" uniqueCount="33">
  <si>
    <t>меню для школьников за сентябрь  2021 год</t>
  </si>
  <si>
    <t>февраль</t>
  </si>
  <si>
    <t>Наименование блюда</t>
  </si>
  <si>
    <t xml:space="preserve"> 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</si>
  <si>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</si>
  <si>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</si>
  <si>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</si>
  <si>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</si>
  <si>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</si>
  <si>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</si>
  <si>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</si>
  <si>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</si>
  <si>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</si>
  <si>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</si>
  <si>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</si>
  <si>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</si>
  <si>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</si>
  <si>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</si>
  <si>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</si>
  <si>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</si>
  <si>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</si>
  <si>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3.02.2022г</t>
  </si>
  <si>
    <t>1.макароны отварные</t>
  </si>
  <si>
    <t>макароны</t>
  </si>
  <si>
    <t>масло сливочное</t>
  </si>
  <si>
    <t>итого</t>
  </si>
  <si>
    <t>2.курица в духовке</t>
  </si>
  <si>
    <t xml:space="preserve">курица </t>
  </si>
  <si>
    <t>3.хлеб</t>
  </si>
  <si>
    <t>сок  натуральный</t>
  </si>
  <si>
    <t>5.печенье</t>
  </si>
  <si>
    <t>6.яблоки</t>
  </si>
  <si>
    <t>7.соль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</si>
</sst>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2" borderId="3" xfId="0" applyFont="1" applyFill="1" applyBorder="1" applyAlignment="1"/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7" fillId="0" borderId="3" xfId="0" applyNumberFormat="1" applyFont="1" applyBorder="1"/>
    <xf numFmtId="0" fontId="8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2" fontId="9" fillId="0" borderId="3" xfId="0" applyNumberFormat="1" applyFont="1" applyBorder="1"/>
    <xf numFmtId="0" fontId="7" fillId="0" borderId="3" xfId="0" applyFont="1" applyBorder="1"/>
    <xf numFmtId="2" fontId="10" fillId="0" borderId="3" xfId="0" applyNumberFormat="1" applyFont="1" applyBorder="1"/>
    <xf numFmtId="2" fontId="7" fillId="0" borderId="3" xfId="0" applyNumberFormat="1" applyFont="1" applyBorder="1"/>
    <xf numFmtId="2" fontId="8" fillId="0" borderId="6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" fontId="1" fillId="0" borderId="3" xfId="0" applyNumberFormat="1" applyFont="1" applyBorder="1"/>
    <xf numFmtId="2" fontId="11" fillId="0" borderId="6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4" fontId="10" fillId="0" borderId="3" xfId="0" applyNumberFormat="1" applyFont="1" applyBorder="1"/>
    <xf numFmtId="2" fontId="12" fillId="0" borderId="3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K2" sqref="K2:M2"/>
    </sheetView>
  </sheetViews>
  <sheetFormatPr defaultRowHeight="15" x14ac:dyDescent="0.25"/>
  <sheetData>
    <row r="1" spans="2:19" ht="18.75" x14ac:dyDescent="0.3">
      <c r="B1" s="1"/>
      <c r="C1" s="2"/>
      <c r="D1" s="2" t="s">
        <v>0</v>
      </c>
      <c r="E1" s="2" t="s">
        <v>1</v>
      </c>
      <c r="F1" s="2">
        <v>2022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18.75" x14ac:dyDescent="0.25">
      <c r="B2" s="3"/>
      <c r="C2" s="4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8" t="s">
        <v>8</v>
      </c>
      <c r="J2" s="7" t="s">
        <v>9</v>
      </c>
      <c r="K2" s="9" t="s">
        <v>10</v>
      </c>
      <c r="L2" s="9"/>
      <c r="M2" s="9"/>
      <c r="N2" s="9" t="s">
        <v>11</v>
      </c>
      <c r="O2" s="9"/>
      <c r="P2" s="9"/>
      <c r="Q2" s="9"/>
      <c r="R2" s="7" t="s">
        <v>12</v>
      </c>
      <c r="S2" s="10" t="s">
        <v>13</v>
      </c>
    </row>
    <row r="3" spans="2:19" x14ac:dyDescent="0.25">
      <c r="B3" s="11"/>
      <c r="C3" s="4"/>
      <c r="D3" s="12"/>
      <c r="E3" s="13"/>
      <c r="F3" s="13"/>
      <c r="G3" s="14"/>
      <c r="H3" s="14"/>
      <c r="I3" s="15"/>
      <c r="J3" s="14"/>
      <c r="K3" s="7" t="s">
        <v>14</v>
      </c>
      <c r="L3" s="6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14"/>
      <c r="S3" s="16"/>
    </row>
    <row r="4" spans="2:19" ht="37.5" x14ac:dyDescent="0.3">
      <c r="B4" s="17"/>
      <c r="C4" s="18" t="s">
        <v>21</v>
      </c>
      <c r="D4" s="19"/>
      <c r="E4" s="20"/>
      <c r="F4" s="20"/>
      <c r="G4" s="21"/>
      <c r="H4" s="21"/>
      <c r="I4" s="22"/>
      <c r="J4" s="21"/>
      <c r="K4" s="21"/>
      <c r="L4" s="20"/>
      <c r="M4" s="21"/>
      <c r="N4" s="21"/>
      <c r="O4" s="21"/>
      <c r="P4" s="21"/>
      <c r="Q4" s="21"/>
      <c r="R4" s="21"/>
      <c r="S4" s="23"/>
    </row>
    <row r="5" spans="2:19" ht="21" x14ac:dyDescent="0.35">
      <c r="B5" s="24"/>
      <c r="C5" s="25" t="s">
        <v>22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2:19" ht="18.75" x14ac:dyDescent="0.3">
      <c r="B6" s="24"/>
      <c r="C6" s="28" t="s">
        <v>23</v>
      </c>
      <c r="D6" s="29">
        <v>67</v>
      </c>
      <c r="E6" s="29">
        <v>0</v>
      </c>
      <c r="F6" s="29">
        <f>D6-E6</f>
        <v>67</v>
      </c>
      <c r="G6" s="29">
        <f>F6*12.6%</f>
        <v>8.4420000000000002</v>
      </c>
      <c r="H6" s="29">
        <f>F6*3.3%</f>
        <v>2.2110000000000003</v>
      </c>
      <c r="I6" s="29">
        <f>F6*62.1%</f>
        <v>41.606999999999999</v>
      </c>
      <c r="J6" s="29">
        <f>F6*335%</f>
        <v>224.45000000000002</v>
      </c>
      <c r="K6" s="29">
        <f>F6*0.43%</f>
        <v>0.28810000000000002</v>
      </c>
      <c r="L6" s="29">
        <v>0</v>
      </c>
      <c r="M6" s="29">
        <v>0</v>
      </c>
      <c r="N6" s="29">
        <f>F6*20%</f>
        <v>13.4</v>
      </c>
      <c r="O6" s="29">
        <f>F6*298%</f>
        <v>199.66</v>
      </c>
      <c r="P6" s="29">
        <f>F6*200%</f>
        <v>134</v>
      </c>
      <c r="Q6" s="29">
        <f>F6*6.7%</f>
        <v>4.4889999999999999</v>
      </c>
      <c r="R6" s="29">
        <v>55</v>
      </c>
      <c r="S6" s="30">
        <f>D6/1000*R6</f>
        <v>3.6850000000000001</v>
      </c>
    </row>
    <row r="7" spans="2:19" ht="18.75" x14ac:dyDescent="0.3">
      <c r="B7" s="24"/>
      <c r="C7" s="28" t="s">
        <v>24</v>
      </c>
      <c r="D7" s="29">
        <v>15</v>
      </c>
      <c r="E7" s="29">
        <v>0</v>
      </c>
      <c r="F7" s="29">
        <f>D7-E7</f>
        <v>15</v>
      </c>
      <c r="G7" s="29">
        <f>F7*0.5%</f>
        <v>7.4999999999999997E-2</v>
      </c>
      <c r="H7" s="29">
        <f>F7*82.5%</f>
        <v>12.375</v>
      </c>
      <c r="I7" s="29">
        <f>F7*0.8%</f>
        <v>0.12</v>
      </c>
      <c r="J7" s="29">
        <f>F7*748%</f>
        <v>112.2</v>
      </c>
      <c r="K7" s="29">
        <v>0</v>
      </c>
      <c r="L7" s="29">
        <v>0</v>
      </c>
      <c r="M7" s="29">
        <f>F7*0.59%</f>
        <v>8.8499999999999995E-2</v>
      </c>
      <c r="N7" s="29">
        <f>F7*12%</f>
        <v>1.7999999999999998</v>
      </c>
      <c r="O7" s="29">
        <f>F7*19%</f>
        <v>2.85</v>
      </c>
      <c r="P7" s="29">
        <f>F7*0.4%</f>
        <v>0.06</v>
      </c>
      <c r="Q7" s="29">
        <f>F7*0.2%</f>
        <v>0.03</v>
      </c>
      <c r="R7" s="29">
        <v>635</v>
      </c>
      <c r="S7" s="30">
        <f>D7/1000*R7</f>
        <v>9.5250000000000004</v>
      </c>
    </row>
    <row r="8" spans="2:19" ht="18.75" x14ac:dyDescent="0.3">
      <c r="B8" s="24"/>
      <c r="C8" s="31" t="s">
        <v>25</v>
      </c>
      <c r="D8" s="32">
        <f>D7+D6</f>
        <v>82</v>
      </c>
      <c r="E8" s="32">
        <f t="shared" ref="E8" si="0">SUM(E6:E7)</f>
        <v>0</v>
      </c>
      <c r="F8" s="32">
        <v>150</v>
      </c>
      <c r="G8" s="32">
        <f t="shared" ref="G8:Q8" si="1">SUM(G6:G7)</f>
        <v>8.5169999999999995</v>
      </c>
      <c r="H8" s="32">
        <f t="shared" si="1"/>
        <v>14.586</v>
      </c>
      <c r="I8" s="32">
        <f t="shared" si="1"/>
        <v>41.726999999999997</v>
      </c>
      <c r="J8" s="32">
        <f t="shared" si="1"/>
        <v>336.65000000000003</v>
      </c>
      <c r="K8" s="32">
        <f t="shared" si="1"/>
        <v>0.28810000000000002</v>
      </c>
      <c r="L8" s="32">
        <f t="shared" si="1"/>
        <v>0</v>
      </c>
      <c r="M8" s="32">
        <f t="shared" si="1"/>
        <v>8.8499999999999995E-2</v>
      </c>
      <c r="N8" s="32">
        <f t="shared" si="1"/>
        <v>15.2</v>
      </c>
      <c r="O8" s="32">
        <f t="shared" si="1"/>
        <v>202.51</v>
      </c>
      <c r="P8" s="32">
        <f t="shared" si="1"/>
        <v>134.06</v>
      </c>
      <c r="Q8" s="32">
        <f t="shared" si="1"/>
        <v>4.5190000000000001</v>
      </c>
      <c r="R8" s="32"/>
      <c r="S8" s="32">
        <f t="shared" ref="S8" si="2">SUM(S6:S7)</f>
        <v>13.21</v>
      </c>
    </row>
    <row r="9" spans="2:19" ht="21" x14ac:dyDescent="0.35">
      <c r="B9" s="24"/>
      <c r="C9" s="25" t="s">
        <v>26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2:19" ht="18.75" x14ac:dyDescent="0.3">
      <c r="B10" s="24"/>
      <c r="C10" s="28" t="s">
        <v>27</v>
      </c>
      <c r="D10" s="29">
        <v>90</v>
      </c>
      <c r="E10" s="29">
        <f>D10*25%</f>
        <v>22.5</v>
      </c>
      <c r="F10" s="29">
        <f>D10-E10</f>
        <v>67.5</v>
      </c>
      <c r="G10" s="29">
        <f>F10*18.2%</f>
        <v>12.285</v>
      </c>
      <c r="H10" s="29">
        <f>F10*18.4%</f>
        <v>12.42</v>
      </c>
      <c r="I10" s="29">
        <f>F10*0.7%</f>
        <v>0.47249999999999998</v>
      </c>
      <c r="J10" s="29">
        <f>F10*241%</f>
        <v>162.67500000000001</v>
      </c>
      <c r="K10" s="29">
        <f>F10*0.07%</f>
        <v>4.7250000000000007E-2</v>
      </c>
      <c r="L10" s="29">
        <v>0</v>
      </c>
      <c r="M10" s="29">
        <f>F10*0.07%</f>
        <v>4.7250000000000007E-2</v>
      </c>
      <c r="N10" s="29">
        <f>F10*16%</f>
        <v>10.8</v>
      </c>
      <c r="O10" s="29">
        <f>F10*165%</f>
        <v>111.375</v>
      </c>
      <c r="P10" s="29">
        <f>F10*18%</f>
        <v>12.15</v>
      </c>
      <c r="Q10" s="29">
        <f>F10*1.6%</f>
        <v>1.08</v>
      </c>
      <c r="R10" s="29">
        <v>210</v>
      </c>
      <c r="S10" s="29">
        <f>D10/1000*R10</f>
        <v>18.899999999999999</v>
      </c>
    </row>
    <row r="11" spans="2:19" ht="18.75" x14ac:dyDescent="0.3">
      <c r="B11" s="24"/>
      <c r="C11" s="33" t="s">
        <v>25</v>
      </c>
      <c r="D11" s="32">
        <f>SUM(D10:D10)</f>
        <v>90</v>
      </c>
      <c r="E11" s="32">
        <f>SUM(E10:E10)</f>
        <v>22.5</v>
      </c>
      <c r="F11" s="32">
        <f>D11-E11</f>
        <v>67.5</v>
      </c>
      <c r="G11" s="32">
        <f t="shared" ref="G11:Q11" si="3">SUM(G10:G10)</f>
        <v>12.285</v>
      </c>
      <c r="H11" s="32">
        <f t="shared" si="3"/>
        <v>12.42</v>
      </c>
      <c r="I11" s="32">
        <f t="shared" si="3"/>
        <v>0.47249999999999998</v>
      </c>
      <c r="J11" s="32">
        <f t="shared" si="3"/>
        <v>162.67500000000001</v>
      </c>
      <c r="K11" s="32">
        <f t="shared" si="3"/>
        <v>4.7250000000000007E-2</v>
      </c>
      <c r="L11" s="32">
        <f t="shared" si="3"/>
        <v>0</v>
      </c>
      <c r="M11" s="32">
        <f t="shared" si="3"/>
        <v>4.7250000000000007E-2</v>
      </c>
      <c r="N11" s="32">
        <f t="shared" si="3"/>
        <v>10.8</v>
      </c>
      <c r="O11" s="32">
        <f t="shared" si="3"/>
        <v>111.375</v>
      </c>
      <c r="P11" s="32">
        <f t="shared" si="3"/>
        <v>12.15</v>
      </c>
      <c r="Q11" s="32">
        <f t="shared" si="3"/>
        <v>1.08</v>
      </c>
      <c r="R11" s="32"/>
      <c r="S11" s="32">
        <f t="shared" ref="S11" si="4">SUM(S10:S10)</f>
        <v>18.899999999999999</v>
      </c>
    </row>
    <row r="12" spans="2:19" ht="21" x14ac:dyDescent="0.35">
      <c r="B12" s="24"/>
      <c r="C12" s="34" t="s">
        <v>28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</row>
    <row r="13" spans="2:19" ht="18.75" x14ac:dyDescent="0.3">
      <c r="B13" s="24"/>
      <c r="C13" s="33" t="s">
        <v>25</v>
      </c>
      <c r="D13" s="32">
        <v>50</v>
      </c>
      <c r="E13" s="32">
        <v>0</v>
      </c>
      <c r="F13" s="32">
        <v>50</v>
      </c>
      <c r="G13" s="32">
        <f>F13*7.9%</f>
        <v>3.95</v>
      </c>
      <c r="H13" s="32">
        <f>F13*1%</f>
        <v>0.5</v>
      </c>
      <c r="I13" s="32">
        <f>F13*48.1%</f>
        <v>24.05</v>
      </c>
      <c r="J13" s="32">
        <f>F13*239%</f>
        <v>119.5</v>
      </c>
      <c r="K13" s="32">
        <f>F13*0.16%</f>
        <v>0.08</v>
      </c>
      <c r="L13" s="32">
        <v>0</v>
      </c>
      <c r="M13" s="32">
        <v>0</v>
      </c>
      <c r="N13" s="32">
        <f>F13*23%</f>
        <v>11.5</v>
      </c>
      <c r="O13" s="32">
        <f>F13*87%</f>
        <v>43.5</v>
      </c>
      <c r="P13" s="32">
        <f>F13*33%</f>
        <v>16.5</v>
      </c>
      <c r="Q13" s="32">
        <f>F13*2%</f>
        <v>1</v>
      </c>
      <c r="R13" s="32">
        <v>50</v>
      </c>
      <c r="S13" s="32">
        <f>D13/1000*50</f>
        <v>2.5</v>
      </c>
    </row>
    <row r="14" spans="2:19" ht="21" x14ac:dyDescent="0.35">
      <c r="B14" s="24"/>
      <c r="C14" s="34" t="s">
        <v>29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</row>
    <row r="15" spans="2:19" ht="18.75" x14ac:dyDescent="0.3">
      <c r="B15" s="24"/>
      <c r="C15" s="29" t="s">
        <v>29</v>
      </c>
      <c r="D15" s="29">
        <v>100</v>
      </c>
      <c r="E15" s="29">
        <v>0</v>
      </c>
      <c r="F15" s="29">
        <v>15</v>
      </c>
      <c r="G15" s="29">
        <f>F15*5.2%</f>
        <v>0.78</v>
      </c>
      <c r="H15" s="29">
        <v>0</v>
      </c>
      <c r="I15" s="29">
        <f>F15*55%</f>
        <v>8.25</v>
      </c>
      <c r="J15" s="29">
        <f>F15*234%</f>
        <v>35.099999999999994</v>
      </c>
      <c r="K15" s="29">
        <f>F15*0.1%</f>
        <v>1.4999999999999999E-2</v>
      </c>
      <c r="L15" s="29">
        <f>F15*4%</f>
        <v>0.6</v>
      </c>
      <c r="M15" s="29">
        <v>0</v>
      </c>
      <c r="N15" s="29">
        <f>F15*160%</f>
        <v>24</v>
      </c>
      <c r="O15" s="29">
        <f>F15*146%</f>
        <v>21.9</v>
      </c>
      <c r="P15" s="29">
        <f>F15*105%</f>
        <v>15.75</v>
      </c>
      <c r="Q15" s="29">
        <f>F15*3.2%</f>
        <v>0.48</v>
      </c>
      <c r="R15" s="29">
        <v>70</v>
      </c>
      <c r="S15" s="29">
        <f>D15/1000*R15</f>
        <v>7</v>
      </c>
    </row>
    <row r="16" spans="2:19" ht="18.75" x14ac:dyDescent="0.3">
      <c r="B16" s="24"/>
      <c r="C16" s="33" t="s">
        <v>25</v>
      </c>
      <c r="D16" s="32">
        <f>SUM(D15)</f>
        <v>100</v>
      </c>
      <c r="E16" s="32">
        <f>SUM(E15:E15)</f>
        <v>0</v>
      </c>
      <c r="F16" s="32">
        <f>SUM(F15)</f>
        <v>15</v>
      </c>
      <c r="G16" s="32">
        <f t="shared" ref="G16:Q16" si="5">SUM(G15:G15)</f>
        <v>0.78</v>
      </c>
      <c r="H16" s="32">
        <f t="shared" si="5"/>
        <v>0</v>
      </c>
      <c r="I16" s="32">
        <f t="shared" si="5"/>
        <v>8.25</v>
      </c>
      <c r="J16" s="32">
        <f t="shared" si="5"/>
        <v>35.099999999999994</v>
      </c>
      <c r="K16" s="32">
        <f t="shared" si="5"/>
        <v>1.4999999999999999E-2</v>
      </c>
      <c r="L16" s="32">
        <f t="shared" si="5"/>
        <v>0.6</v>
      </c>
      <c r="M16" s="32">
        <f t="shared" si="5"/>
        <v>0</v>
      </c>
      <c r="N16" s="32">
        <f t="shared" si="5"/>
        <v>24</v>
      </c>
      <c r="O16" s="32">
        <f t="shared" si="5"/>
        <v>21.9</v>
      </c>
      <c r="P16" s="32">
        <f t="shared" si="5"/>
        <v>15.75</v>
      </c>
      <c r="Q16" s="32">
        <f t="shared" si="5"/>
        <v>0.48</v>
      </c>
      <c r="R16" s="32"/>
      <c r="S16" s="32">
        <f>SUM(S15:S15)</f>
        <v>7</v>
      </c>
    </row>
    <row r="17" spans="2:19" ht="18.75" x14ac:dyDescent="0.3">
      <c r="B17" s="24"/>
      <c r="C17" s="39" t="s">
        <v>30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</row>
    <row r="18" spans="2:19" ht="18.75" x14ac:dyDescent="0.3">
      <c r="B18" s="24"/>
      <c r="C18" s="33" t="s">
        <v>25</v>
      </c>
      <c r="D18" s="32">
        <v>65</v>
      </c>
      <c r="E18" s="32">
        <v>0</v>
      </c>
      <c r="F18" s="32">
        <f>D18-E18</f>
        <v>65</v>
      </c>
      <c r="G18" s="29">
        <f>F18*7.5%</f>
        <v>4.875</v>
      </c>
      <c r="H18" s="29">
        <f>F18*11.8%</f>
        <v>7.6700000000000008</v>
      </c>
      <c r="I18" s="29">
        <f>F18*74.4%</f>
        <v>48.360000000000007</v>
      </c>
      <c r="J18" s="29">
        <f>F18*436%</f>
        <v>283.40000000000003</v>
      </c>
      <c r="K18" s="29">
        <f>F18*0.08%</f>
        <v>5.2000000000000005E-2</v>
      </c>
      <c r="L18" s="29">
        <f>F18*0%</f>
        <v>0</v>
      </c>
      <c r="M18" s="29">
        <f>F18*0%</f>
        <v>0</v>
      </c>
      <c r="N18" s="29">
        <f>F18*29%</f>
        <v>18.849999999999998</v>
      </c>
      <c r="O18" s="29">
        <f>F18*90%</f>
        <v>58.5</v>
      </c>
      <c r="P18" s="29">
        <f>F18*20%</f>
        <v>13</v>
      </c>
      <c r="Q18" s="29">
        <f>F18*2.1%</f>
        <v>1.365</v>
      </c>
      <c r="R18" s="29">
        <v>100</v>
      </c>
      <c r="S18" s="32">
        <f>D18/1000*R18</f>
        <v>6.5</v>
      </c>
    </row>
    <row r="19" spans="2:19" ht="21" x14ac:dyDescent="0.35">
      <c r="B19" s="24"/>
      <c r="C19" s="34" t="s">
        <v>31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</row>
    <row r="20" spans="2:19" ht="18.75" x14ac:dyDescent="0.3">
      <c r="B20" s="24"/>
      <c r="C20" s="33" t="s">
        <v>25</v>
      </c>
      <c r="D20" s="32">
        <v>128</v>
      </c>
      <c r="E20" s="32">
        <v>0</v>
      </c>
      <c r="F20" s="32">
        <f>D20-E20</f>
        <v>128</v>
      </c>
      <c r="G20" s="32">
        <f>F20*0.4%</f>
        <v>0.51200000000000001</v>
      </c>
      <c r="H20" s="32">
        <f>F20*0.4%</f>
        <v>0.51200000000000001</v>
      </c>
      <c r="I20" s="32">
        <f>F20*9.8%</f>
        <v>12.544</v>
      </c>
      <c r="J20" s="32">
        <f>F20*45%</f>
        <v>57.6</v>
      </c>
      <c r="K20" s="32">
        <f>F20*0.03%</f>
        <v>3.8399999999999997E-2</v>
      </c>
      <c r="L20" s="32">
        <f>F20*13%</f>
        <v>16.64</v>
      </c>
      <c r="M20" s="32">
        <v>0</v>
      </c>
      <c r="N20" s="32">
        <f>F20*16%</f>
        <v>20.48</v>
      </c>
      <c r="O20" s="32">
        <f>F20*11%</f>
        <v>14.08</v>
      </c>
      <c r="P20" s="32">
        <f>F20*9%</f>
        <v>11.52</v>
      </c>
      <c r="Q20" s="32">
        <f>F20*2.2%</f>
        <v>2.8160000000000003</v>
      </c>
      <c r="R20" s="32">
        <v>100</v>
      </c>
      <c r="S20" s="32">
        <f>D20/1000*R20</f>
        <v>12.8</v>
      </c>
    </row>
    <row r="21" spans="2:19" ht="21" x14ac:dyDescent="0.35">
      <c r="B21" s="42"/>
      <c r="C21" s="43" t="s">
        <v>32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</row>
    <row r="22" spans="2:19" ht="18.75" x14ac:dyDescent="0.3">
      <c r="B22" s="42"/>
      <c r="C22" s="33" t="s">
        <v>25</v>
      </c>
      <c r="D22" s="46">
        <v>3</v>
      </c>
      <c r="E22" s="32">
        <v>0</v>
      </c>
      <c r="F22" s="46">
        <f>D22-E22</f>
        <v>3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10</v>
      </c>
      <c r="S22" s="46">
        <f>D22/1000*R22</f>
        <v>0.03</v>
      </c>
    </row>
    <row r="23" spans="2:19" ht="18.75" x14ac:dyDescent="0.3">
      <c r="B23" s="42"/>
      <c r="C23" s="33"/>
      <c r="D23" s="46"/>
      <c r="E23" s="32"/>
      <c r="F23" s="46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46"/>
    </row>
    <row r="24" spans="2:19" ht="23.25" x14ac:dyDescent="0.35">
      <c r="B24" s="42"/>
      <c r="C24" s="47" t="s">
        <v>25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>
        <f>S22+S20+S18+S16+S13+S11+S8</f>
        <v>60.94</v>
      </c>
    </row>
  </sheetData>
  <mergeCells count="27">
    <mergeCell ref="C21:S21"/>
    <mergeCell ref="C2:C3"/>
    <mergeCell ref="J2:J4"/>
    <mergeCell ref="K2:M2"/>
    <mergeCell ref="N2:Q2"/>
    <mergeCell ref="S2:S4"/>
    <mergeCell ref="Q3:Q4"/>
    <mergeCell ref="C5:S5"/>
    <mergeCell ref="C9:S9"/>
    <mergeCell ref="C12:S12"/>
    <mergeCell ref="C14:S14"/>
    <mergeCell ref="C17:S17"/>
    <mergeCell ref="C19:S19"/>
    <mergeCell ref="R2:R4"/>
    <mergeCell ref="K3:K4"/>
    <mergeCell ref="L3:L4"/>
    <mergeCell ref="M3:M4"/>
    <mergeCell ref="N3:N4"/>
    <mergeCell ref="O3:O4"/>
    <mergeCell ref="P3:P4"/>
    <mergeCell ref="G2:G4"/>
    <mergeCell ref="H2:H4"/>
    <mergeCell ref="I2:I4"/>
    <mergeCell ref="B2:B3"/>
    <mergeCell ref="D2:D4"/>
    <mergeCell ref="E2:E4"/>
    <mergeCell ref="F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2022-02-12T05:39:12Z</dcterms:modified>
</cp:coreProperties>
</file>