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filterPrivacy="1" defaultThemeVersion="124226"/>
  <xr:revisionPtr revIDLastSave="0" documentId="13_ncr:1_{A7CC840E-8CE0-4735-8893-14524E998394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R26" i="1" l="1"/>
  <c r="E26" i="1"/>
  <c r="R24" i="1"/>
  <c r="O24" i="1"/>
  <c r="E24" i="1"/>
  <c r="M24" i="1" s="1"/>
  <c r="L22" i="1"/>
  <c r="K22" i="1"/>
  <c r="G22" i="1"/>
  <c r="D22" i="1"/>
  <c r="R21" i="1"/>
  <c r="P21" i="1"/>
  <c r="M21" i="1"/>
  <c r="I21" i="1"/>
  <c r="H21" i="1"/>
  <c r="R20" i="1"/>
  <c r="P20" i="1"/>
  <c r="O20" i="1"/>
  <c r="O22" i="1" s="1"/>
  <c r="N20" i="1"/>
  <c r="N22" i="1" s="1"/>
  <c r="M20" i="1"/>
  <c r="M22" i="1" s="1"/>
  <c r="K20" i="1"/>
  <c r="J20" i="1"/>
  <c r="J22" i="1" s="1"/>
  <c r="I20" i="1"/>
  <c r="I22" i="1" s="1"/>
  <c r="H20" i="1"/>
  <c r="F20" i="1"/>
  <c r="F22" i="1" s="1"/>
  <c r="R18" i="1"/>
  <c r="P18" i="1"/>
  <c r="O18" i="1"/>
  <c r="N18" i="1"/>
  <c r="M18" i="1"/>
  <c r="J18" i="1"/>
  <c r="I18" i="1"/>
  <c r="H18" i="1"/>
  <c r="G18" i="1"/>
  <c r="F18" i="1"/>
  <c r="L16" i="1"/>
  <c r="C16" i="1"/>
  <c r="R15" i="1"/>
  <c r="E15" i="1"/>
  <c r="G15" i="1" s="1"/>
  <c r="R14" i="1"/>
  <c r="M14" i="1"/>
  <c r="E14" i="1"/>
  <c r="O14" i="1" s="1"/>
  <c r="R13" i="1"/>
  <c r="E13" i="1"/>
  <c r="N13" i="1" s="1"/>
  <c r="R12" i="1"/>
  <c r="D12" i="1"/>
  <c r="E12" i="1" s="1"/>
  <c r="M12" i="1" s="1"/>
  <c r="R11" i="1"/>
  <c r="E11" i="1"/>
  <c r="M11" i="1" s="1"/>
  <c r="R10" i="1"/>
  <c r="D10" i="1"/>
  <c r="E10" i="1" s="1"/>
  <c r="K8" i="1"/>
  <c r="C8" i="1"/>
  <c r="R7" i="1"/>
  <c r="E7" i="1"/>
  <c r="P7" i="1" s="1"/>
  <c r="R6" i="1"/>
  <c r="H6" i="1"/>
  <c r="E6" i="1"/>
  <c r="O6" i="1" s="1"/>
  <c r="H22" i="1" l="1"/>
  <c r="R8" i="1"/>
  <c r="P13" i="1"/>
  <c r="N6" i="1"/>
  <c r="N8" i="1" s="1"/>
  <c r="F13" i="1"/>
  <c r="F6" i="1"/>
  <c r="F11" i="1"/>
  <c r="G13" i="1"/>
  <c r="G6" i="1"/>
  <c r="K11" i="1"/>
  <c r="J13" i="1"/>
  <c r="P22" i="1"/>
  <c r="F24" i="1"/>
  <c r="K14" i="1"/>
  <c r="P12" i="1"/>
  <c r="I14" i="1"/>
  <c r="R22" i="1"/>
  <c r="K24" i="1"/>
  <c r="K12" i="1"/>
  <c r="H14" i="1"/>
  <c r="N14" i="1"/>
  <c r="J24" i="1"/>
  <c r="K16" i="1"/>
  <c r="R16" i="1"/>
  <c r="R28" i="1" s="1"/>
  <c r="M6" i="1"/>
  <c r="P11" i="1"/>
  <c r="F12" i="1"/>
  <c r="M13" i="1"/>
  <c r="F14" i="1"/>
  <c r="G24" i="1"/>
  <c r="P24" i="1"/>
  <c r="P10" i="1"/>
  <c r="J10" i="1"/>
  <c r="E16" i="1"/>
  <c r="N10" i="1"/>
  <c r="G10" i="1"/>
  <c r="G16" i="1" s="1"/>
  <c r="I10" i="1"/>
  <c r="M10" i="1"/>
  <c r="F10" i="1"/>
  <c r="F16" i="1" s="1"/>
  <c r="O10" i="1"/>
  <c r="O7" i="1"/>
  <c r="O8" i="1" s="1"/>
  <c r="O12" i="1"/>
  <c r="J15" i="1"/>
  <c r="J6" i="1"/>
  <c r="J8" i="1" s="1"/>
  <c r="P6" i="1"/>
  <c r="P8" i="1" s="1"/>
  <c r="G7" i="1"/>
  <c r="G8" i="1" s="1"/>
  <c r="M7" i="1"/>
  <c r="M8" i="1" s="1"/>
  <c r="I11" i="1"/>
  <c r="N11" i="1"/>
  <c r="I12" i="1"/>
  <c r="N12" i="1"/>
  <c r="I13" i="1"/>
  <c r="O13" i="1"/>
  <c r="P14" i="1"/>
  <c r="I15" i="1"/>
  <c r="D16" i="1"/>
  <c r="I24" i="1"/>
  <c r="N24" i="1"/>
  <c r="I7" i="1"/>
  <c r="H7" i="1"/>
  <c r="H8" i="1" s="1"/>
  <c r="N7" i="1"/>
  <c r="J11" i="1"/>
  <c r="O11" i="1"/>
  <c r="J12" i="1"/>
  <c r="I6" i="1"/>
  <c r="F7" i="1"/>
  <c r="F8" i="1" s="1"/>
  <c r="L7" i="1"/>
  <c r="L8" i="1" s="1"/>
  <c r="H11" i="1"/>
  <c r="H12" i="1"/>
  <c r="H13" i="1"/>
  <c r="J14" i="1"/>
  <c r="H24" i="1"/>
  <c r="M16" i="1" l="1"/>
  <c r="O16" i="1"/>
  <c r="P16" i="1"/>
  <c r="J16" i="1"/>
  <c r="H16" i="1"/>
  <c r="I16" i="1"/>
  <c r="I8" i="1"/>
  <c r="N16" i="1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<sst xmlns="http://schemas.openxmlformats.org/spreadsheetml/2006/main" count="46" uniqueCount="40">
  <si>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</si>
  <si>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</si>
  <si>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Белки</t>
  </si>
  <si>
    <t>Жиры</t>
  </si>
  <si>
    <t>Углеводы</t>
  </si>
  <si>
    <t>Наименование блюда</t>
  </si>
  <si>
    <t>отх</t>
  </si>
  <si>
    <t>нетто</t>
  </si>
  <si>
    <t>э/ц ккл</t>
  </si>
  <si>
    <t>Витамины, мг на 100 г</t>
  </si>
  <si>
    <t>Минеральные в-ва</t>
  </si>
  <si>
    <t>цена</t>
  </si>
  <si>
    <t>В1</t>
  </si>
  <si>
    <t>С</t>
  </si>
  <si>
    <t>А</t>
  </si>
  <si>
    <t>Са</t>
  </si>
  <si>
    <t>Р</t>
  </si>
  <si>
    <t>Mg</t>
  </si>
  <si>
    <t>Fe</t>
  </si>
  <si>
    <t>итого</t>
  </si>
  <si>
    <t>сахар</t>
  </si>
  <si>
    <t>морковь</t>
  </si>
  <si>
    <t>лук</t>
  </si>
  <si>
    <t>сумма</t>
  </si>
  <si>
    <t>3.хлеб</t>
  </si>
  <si>
    <t>всего грамм</t>
  </si>
  <si>
    <t>1.каша гречневая</t>
  </si>
  <si>
    <t>крупа гречневая</t>
  </si>
  <si>
    <t>масло сливочное</t>
  </si>
  <si>
    <t>2.гуляш из говядины</t>
  </si>
  <si>
    <t>мясо говядины</t>
  </si>
  <si>
    <t>мука</t>
  </si>
  <si>
    <t>томат</t>
  </si>
  <si>
    <t>масло растительное</t>
  </si>
  <si>
    <t>4.компот</t>
  </si>
  <si>
    <t>сухофрукты</t>
  </si>
  <si>
    <t>6.соль</t>
  </si>
  <si>
    <t>5.яблоки</t>
  </si>
  <si>
    <t>Урхнишинская СОШ"</t>
  </si>
  <si>
    <t>18.11.2022г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</si>
</sst>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8"/>
      <name val="Arial"/>
      <family val="2"/>
    </font>
    <font>
      <b/>
      <sz val="14"/>
      <color indexed="8"/>
      <name val="Calibri"/>
      <family val="2"/>
      <charset val="204"/>
    </font>
    <font>
      <b/>
      <sz val="16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</font>
    <font>
      <b/>
      <sz val="16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8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2">
    <xf numFmtId="0" fontId="0" fillId="0" borderId="0" xfId="0"/>
    <xf numFmtId="0" fontId="2" fillId="0" borderId="1" xfId="0" applyFont="1" applyBorder="1"/>
    <xf numFmtId="2" fontId="0" fillId="0" borderId="1" xfId="0" applyNumberFormat="1" applyBorder="1"/>
    <xf numFmtId="2" fontId="7" fillId="0" borderId="1" xfId="0" applyNumberFormat="1" applyFont="1" applyBorder="1"/>
    <xf numFmtId="1" fontId="8" fillId="0" borderId="1" xfId="0" applyNumberFormat="1" applyFont="1" applyBorder="1"/>
    <xf numFmtId="2" fontId="5" fillId="0" borderId="1" xfId="0" applyNumberFormat="1" applyFont="1" applyBorder="1"/>
    <xf numFmtId="1" fontId="5" fillId="0" borderId="1" xfId="0" applyNumberFormat="1" applyFont="1" applyBorder="1"/>
    <xf numFmtId="0" fontId="1" fillId="0" borderId="0" xfId="0" applyFont="1"/>
    <xf numFmtId="2" fontId="11" fillId="0" borderId="0" xfId="0" applyNumberFormat="1" applyFont="1" applyAlignment="1">
      <alignment vertical="center"/>
    </xf>
    <xf numFmtId="2" fontId="0" fillId="0" borderId="0" xfId="0" applyNumberFormat="1" applyAlignment="1">
      <alignment vertical="center"/>
    </xf>
    <xf numFmtId="2" fontId="12" fillId="0" borderId="0" xfId="0" applyNumberFormat="1" applyFont="1" applyAlignment="1">
      <alignment horizontal="left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/>
    <xf numFmtId="0" fontId="0" fillId="0" borderId="1" xfId="0" applyBorder="1"/>
    <xf numFmtId="164" fontId="0" fillId="0" borderId="1" xfId="0" applyNumberFormat="1" applyBorder="1"/>
    <xf numFmtId="0" fontId="5" fillId="0" borderId="1" xfId="0" applyFont="1" applyBorder="1"/>
    <xf numFmtId="164" fontId="7" fillId="0" borderId="1" xfId="0" applyNumberFormat="1" applyFont="1" applyBorder="1"/>
    <xf numFmtId="2" fontId="13" fillId="0" borderId="1" xfId="0" applyNumberFormat="1" applyFont="1" applyBorder="1"/>
    <xf numFmtId="0" fontId="14" fillId="0" borderId="1" xfId="0" applyFont="1" applyBorder="1"/>
    <xf numFmtId="14" fontId="14" fillId="0" borderId="1" xfId="0" applyNumberFormat="1" applyFont="1" applyBorder="1"/>
    <xf numFmtId="0" fontId="15" fillId="0" borderId="0" xfId="0" applyFont="1"/>
    <xf numFmtId="0" fontId="10" fillId="0" borderId="2" xfId="1" applyFont="1" applyBorder="1" applyAlignment="1">
      <alignment horizontal="left" vertical="top" wrapText="1"/>
    </xf>
    <xf numFmtId="2" fontId="20" fillId="0" borderId="1" xfId="0" applyNumberFormat="1" applyFont="1" applyBorder="1"/>
    <xf numFmtId="0" fontId="21" fillId="0" borderId="1" xfId="0" applyFont="1" applyBorder="1"/>
    <xf numFmtId="2" fontId="22" fillId="0" borderId="1" xfId="0" applyNumberFormat="1" applyFont="1" applyBorder="1" applyAlignment="1">
      <alignment vertical="center"/>
    </xf>
    <xf numFmtId="1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1" fontId="0" fillId="0" borderId="1" xfId="0" applyNumberFormat="1" applyBorder="1"/>
    <xf numFmtId="2" fontId="9" fillId="0" borderId="3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2" fontId="7" fillId="0" borderId="5" xfId="0" applyNumberFormat="1" applyFont="1" applyBorder="1" applyAlignment="1">
      <alignment horizontal="center"/>
    </xf>
    <xf numFmtId="0" fontId="19" fillId="0" borderId="2" xfId="1" applyFont="1" applyBorder="1" applyAlignment="1">
      <alignment horizontal="center" vertical="center"/>
    </xf>
    <xf numFmtId="0" fontId="19" fillId="0" borderId="7" xfId="1" applyFont="1" applyBorder="1" applyAlignment="1">
      <alignment horizontal="center" vertical="center"/>
    </xf>
    <xf numFmtId="0" fontId="19" fillId="0" borderId="6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19" fillId="2" borderId="2" xfId="1" applyFont="1" applyFill="1" applyBorder="1" applyAlignment="1">
      <alignment horizontal="center" vertical="center"/>
    </xf>
    <xf numFmtId="0" fontId="19" fillId="2" borderId="6" xfId="1" applyFont="1" applyFill="1" applyBorder="1" applyAlignment="1">
      <alignment horizontal="center" vertical="center"/>
    </xf>
    <xf numFmtId="0" fontId="19" fillId="0" borderId="1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top" wrapText="1"/>
    </xf>
    <xf numFmtId="0" fontId="10" fillId="0" borderId="4" xfId="1" applyFont="1" applyBorder="1" applyAlignment="1">
      <alignment horizontal="center" vertical="top" wrapText="1"/>
    </xf>
    <xf numFmtId="0" fontId="10" fillId="0" borderId="5" xfId="1" applyFont="1" applyBorder="1" applyAlignment="1">
      <alignment horizontal="center" vertical="top" wrapText="1"/>
    </xf>
    <xf numFmtId="2" fontId="6" fillId="0" borderId="3" xfId="0" applyNumberFormat="1" applyFon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0" fontId="16" fillId="0" borderId="1" xfId="1" applyFont="1" applyBorder="1" applyAlignment="1">
      <alignment horizontal="center" vertical="center"/>
    </xf>
    <xf numFmtId="0" fontId="17" fillId="2" borderId="2" xfId="1" applyFont="1" applyFill="1" applyBorder="1" applyAlignment="1">
      <alignment horizontal="center" vertical="top" wrapText="1"/>
    </xf>
    <xf numFmtId="0" fontId="17" fillId="2" borderId="7" xfId="1" applyFont="1" applyFill="1" applyBorder="1" applyAlignment="1">
      <alignment horizontal="center" vertical="top" wrapText="1"/>
    </xf>
    <xf numFmtId="0" fontId="17" fillId="2" borderId="6" xfId="1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8" fillId="2" borderId="2" xfId="1" applyFont="1" applyFill="1" applyBorder="1" applyAlignment="1">
      <alignment horizontal="center" vertical="top"/>
    </xf>
    <xf numFmtId="0" fontId="18" fillId="2" borderId="7" xfId="1" applyFont="1" applyFill="1" applyBorder="1" applyAlignment="1">
      <alignment horizontal="center" vertical="top"/>
    </xf>
    <xf numFmtId="0" fontId="18" fillId="2" borderId="6" xfId="1" applyFont="1" applyFill="1" applyBorder="1" applyAlignment="1">
      <alignment horizontal="center" vertical="top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8"/>
  <sheetViews>
    <sheetView tabSelected="1" workbookViewId="0">
      <selection activeCell="J1" sqref="J1"/>
    </sheetView>
  </sheetViews>
  <sheetFormatPr defaultRowHeight="15" x14ac:dyDescent="0.25"/>
  <cols>
    <col min="1" max="1" width="5.5703125" customWidth="1"/>
    <col min="2" max="2" width="12.7109375" customWidth="1"/>
    <col min="3" max="3" width="9.5703125" customWidth="1"/>
    <col min="4" max="4" width="14.140625" customWidth="1"/>
    <col min="5" max="9" width="8.85546875" customWidth="1"/>
    <col min="10" max="10" width="12" customWidth="1"/>
    <col min="11" max="18" width="8.85546875" customWidth="1"/>
  </cols>
  <sheetData>
    <row r="1" spans="1:18" ht="17.45" customHeight="1" x14ac:dyDescent="0.25">
      <c r="A1" s="1" t="s">
        <v>0</v>
      </c>
      <c r="B1" s="20" t="s">
        <v>38</v>
      </c>
      <c r="C1" s="20"/>
      <c r="D1" s="20"/>
      <c r="E1" s="20"/>
      <c r="F1" s="20"/>
      <c r="G1" s="20"/>
      <c r="H1" s="20"/>
      <c r="I1" s="20" t="s">
        <v>1</v>
      </c>
      <c r="J1" s="21" t="s">
        <v>39</v>
      </c>
      <c r="K1" s="22"/>
      <c r="L1" s="22"/>
      <c r="M1" s="22"/>
      <c r="N1" s="22"/>
      <c r="O1" s="22"/>
      <c r="P1" s="22"/>
      <c r="Q1" s="22"/>
      <c r="R1" s="22"/>
    </row>
    <row r="2" spans="1:18" ht="33" customHeight="1" x14ac:dyDescent="0.3">
      <c r="A2" s="4"/>
      <c r="B2" s="49" t="s">
        <v>5</v>
      </c>
      <c r="C2" s="50" t="s">
        <v>25</v>
      </c>
      <c r="D2" s="59" t="s">
        <v>6</v>
      </c>
      <c r="E2" s="59" t="s">
        <v>7</v>
      </c>
      <c r="F2" s="34" t="s">
        <v>2</v>
      </c>
      <c r="G2" s="34" t="s">
        <v>3</v>
      </c>
      <c r="H2" s="34" t="s">
        <v>4</v>
      </c>
      <c r="I2" s="34" t="s">
        <v>8</v>
      </c>
      <c r="J2" s="40" t="s">
        <v>9</v>
      </c>
      <c r="K2" s="40"/>
      <c r="L2" s="40"/>
      <c r="M2" s="40" t="s">
        <v>10</v>
      </c>
      <c r="N2" s="40"/>
      <c r="O2" s="40"/>
      <c r="P2" s="40"/>
      <c r="Q2" s="37" t="s">
        <v>11</v>
      </c>
      <c r="R2" s="56" t="s">
        <v>23</v>
      </c>
    </row>
    <row r="3" spans="1:18" ht="24" customHeight="1" x14ac:dyDescent="0.3">
      <c r="A3" s="4"/>
      <c r="B3" s="49"/>
      <c r="C3" s="51"/>
      <c r="D3" s="60"/>
      <c r="E3" s="60"/>
      <c r="F3" s="35"/>
      <c r="G3" s="35"/>
      <c r="H3" s="35"/>
      <c r="I3" s="35"/>
      <c r="J3" s="34" t="s">
        <v>12</v>
      </c>
      <c r="K3" s="38" t="s">
        <v>13</v>
      </c>
      <c r="L3" s="34" t="s">
        <v>14</v>
      </c>
      <c r="M3" s="34" t="s">
        <v>15</v>
      </c>
      <c r="N3" s="34" t="s">
        <v>16</v>
      </c>
      <c r="O3" s="34" t="s">
        <v>17</v>
      </c>
      <c r="P3" s="34" t="s">
        <v>18</v>
      </c>
      <c r="Q3" s="35"/>
      <c r="R3" s="57"/>
    </row>
    <row r="4" spans="1:18" ht="24" customHeight="1" x14ac:dyDescent="0.3">
      <c r="A4" s="4"/>
      <c r="B4" s="23"/>
      <c r="C4" s="52"/>
      <c r="D4" s="61"/>
      <c r="E4" s="61"/>
      <c r="F4" s="36"/>
      <c r="G4" s="36"/>
      <c r="H4" s="36"/>
      <c r="I4" s="36"/>
      <c r="J4" s="36"/>
      <c r="K4" s="39"/>
      <c r="L4" s="36"/>
      <c r="M4" s="36"/>
      <c r="N4" s="36"/>
      <c r="O4" s="36"/>
      <c r="P4" s="36"/>
      <c r="Q4" s="36"/>
      <c r="R4" s="58"/>
    </row>
    <row r="5" spans="1:18" s="7" customFormat="1" ht="19.149999999999999" customHeight="1" x14ac:dyDescent="0.35">
      <c r="A5" s="17"/>
      <c r="B5" s="53" t="s">
        <v>26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5"/>
    </row>
    <row r="6" spans="1:18" s="8" customFormat="1" ht="22.15" customHeight="1" x14ac:dyDescent="0.3">
      <c r="A6" s="17"/>
      <c r="B6" s="15" t="s">
        <v>27</v>
      </c>
      <c r="C6" s="2">
        <v>50</v>
      </c>
      <c r="D6" s="2">
        <v>0</v>
      </c>
      <c r="E6" s="2">
        <f>C6-D6</f>
        <v>50</v>
      </c>
      <c r="F6" s="2">
        <f>E6*12.6%</f>
        <v>6.3</v>
      </c>
      <c r="G6" s="2">
        <f>E6*3.3%</f>
        <v>1.6500000000000001</v>
      </c>
      <c r="H6" s="2">
        <f>E6*62.1%</f>
        <v>31.05</v>
      </c>
      <c r="I6" s="2">
        <f>E6*335%</f>
        <v>167.5</v>
      </c>
      <c r="J6" s="2">
        <f>E6*0.43%</f>
        <v>0.215</v>
      </c>
      <c r="K6" s="2">
        <v>0</v>
      </c>
      <c r="L6" s="2">
        <v>0</v>
      </c>
      <c r="M6" s="2">
        <f>E6*20%</f>
        <v>10</v>
      </c>
      <c r="N6" s="2">
        <f>E6*298%</f>
        <v>149</v>
      </c>
      <c r="O6" s="2">
        <f>E6*200%</f>
        <v>100</v>
      </c>
      <c r="P6" s="2">
        <f>E6*6.7%</f>
        <v>3.35</v>
      </c>
      <c r="Q6" s="2">
        <v>85</v>
      </c>
      <c r="R6" s="24">
        <f>C6/1000*85</f>
        <v>4.25</v>
      </c>
    </row>
    <row r="7" spans="1:18" s="9" customFormat="1" ht="19.5" customHeight="1" x14ac:dyDescent="0.3">
      <c r="A7" s="17"/>
      <c r="B7" s="15" t="s">
        <v>28</v>
      </c>
      <c r="C7" s="2">
        <v>15</v>
      </c>
      <c r="D7" s="2">
        <v>0</v>
      </c>
      <c r="E7" s="2">
        <f>C7-D7</f>
        <v>15</v>
      </c>
      <c r="F7" s="2">
        <f>E7*0.5%</f>
        <v>7.4999999999999997E-2</v>
      </c>
      <c r="G7" s="2">
        <f>E7*82.5%</f>
        <v>12.375</v>
      </c>
      <c r="H7" s="2">
        <f>E7*0.8%</f>
        <v>0.12</v>
      </c>
      <c r="I7" s="2">
        <f>E7*748%</f>
        <v>112.2</v>
      </c>
      <c r="J7" s="2">
        <v>0</v>
      </c>
      <c r="K7" s="2">
        <v>0</v>
      </c>
      <c r="L7" s="2">
        <f>E7*0.59%</f>
        <v>8.8499999999999995E-2</v>
      </c>
      <c r="M7" s="2">
        <f>E7*12%</f>
        <v>1.7999999999999998</v>
      </c>
      <c r="N7" s="2">
        <f>E7*19%</f>
        <v>2.85</v>
      </c>
      <c r="O7" s="2">
        <f>E7*0.4%</f>
        <v>0.06</v>
      </c>
      <c r="P7" s="2">
        <f>E7*0.2%</f>
        <v>0.03</v>
      </c>
      <c r="Q7" s="2">
        <v>480</v>
      </c>
      <c r="R7" s="24">
        <f>C7/1000*480</f>
        <v>7.1999999999999993</v>
      </c>
    </row>
    <row r="8" spans="1:18" s="8" customFormat="1" ht="22.15" customHeight="1" x14ac:dyDescent="0.3">
      <c r="A8" s="17"/>
      <c r="B8" s="17" t="s">
        <v>19</v>
      </c>
      <c r="C8" s="3">
        <f>C7+C6</f>
        <v>65</v>
      </c>
      <c r="D8" s="3">
        <v>0</v>
      </c>
      <c r="E8" s="3">
        <v>110</v>
      </c>
      <c r="F8" s="3">
        <f t="shared" ref="F8:P8" si="0">SUM(F6:F7)</f>
        <v>6.375</v>
      </c>
      <c r="G8" s="3">
        <f t="shared" si="0"/>
        <v>14.025</v>
      </c>
      <c r="H8" s="3">
        <f t="shared" si="0"/>
        <v>31.17</v>
      </c>
      <c r="I8" s="3">
        <f t="shared" si="0"/>
        <v>279.7</v>
      </c>
      <c r="J8" s="3">
        <f t="shared" si="0"/>
        <v>0.215</v>
      </c>
      <c r="K8" s="3">
        <f t="shared" si="0"/>
        <v>0</v>
      </c>
      <c r="L8" s="3">
        <f t="shared" si="0"/>
        <v>8.8499999999999995E-2</v>
      </c>
      <c r="M8" s="3">
        <f t="shared" si="0"/>
        <v>11.8</v>
      </c>
      <c r="N8" s="3">
        <f t="shared" si="0"/>
        <v>151.85</v>
      </c>
      <c r="O8" s="3">
        <f t="shared" si="0"/>
        <v>100.06</v>
      </c>
      <c r="P8" s="3">
        <f t="shared" si="0"/>
        <v>3.38</v>
      </c>
      <c r="Q8" s="3"/>
      <c r="R8" s="3">
        <f>SUM(R6:R7)</f>
        <v>11.45</v>
      </c>
    </row>
    <row r="9" spans="1:18" s="8" customFormat="1" ht="22.15" customHeight="1" x14ac:dyDescent="0.3">
      <c r="A9" s="4"/>
      <c r="B9" s="41" t="s">
        <v>29</v>
      </c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3"/>
    </row>
    <row r="10" spans="1:18" s="10" customFormat="1" ht="22.15" customHeight="1" x14ac:dyDescent="0.3">
      <c r="A10" s="17"/>
      <c r="B10" s="15" t="s">
        <v>30</v>
      </c>
      <c r="C10" s="2">
        <v>60</v>
      </c>
      <c r="D10" s="2">
        <f>C10*26.4%</f>
        <v>15.84</v>
      </c>
      <c r="E10" s="2">
        <f>SUM(C10-D10)</f>
        <v>44.16</v>
      </c>
      <c r="F10" s="2">
        <f>E10*18.6%</f>
        <v>8.2137600000000006</v>
      </c>
      <c r="G10" s="2">
        <f>E10*16%</f>
        <v>7.0655999999999999</v>
      </c>
      <c r="H10" s="2">
        <v>0</v>
      </c>
      <c r="I10" s="2">
        <f>E10*218%</f>
        <v>96.268799999999999</v>
      </c>
      <c r="J10" s="2">
        <f>E10*0.06%</f>
        <v>2.6495999999999995E-2</v>
      </c>
      <c r="K10" s="2">
        <v>0</v>
      </c>
      <c r="L10" s="2">
        <v>0</v>
      </c>
      <c r="M10" s="2">
        <f>E10*9%</f>
        <v>3.9743999999999997</v>
      </c>
      <c r="N10" s="2">
        <f>E10*188%</f>
        <v>83.020799999999994</v>
      </c>
      <c r="O10" s="2">
        <f>E10*22%</f>
        <v>9.7151999999999994</v>
      </c>
      <c r="P10" s="2">
        <f>E10*2.7%</f>
        <v>1.19232</v>
      </c>
      <c r="Q10" s="2">
        <v>475</v>
      </c>
      <c r="R10" s="2">
        <f>C10/1000*475</f>
        <v>28.5</v>
      </c>
    </row>
    <row r="11" spans="1:18" s="7" customFormat="1" ht="18.75" x14ac:dyDescent="0.3">
      <c r="A11" s="17"/>
      <c r="B11" s="15" t="s">
        <v>21</v>
      </c>
      <c r="C11" s="2">
        <v>24</v>
      </c>
      <c r="D11" s="2">
        <v>5</v>
      </c>
      <c r="E11" s="2">
        <f>C11-D11</f>
        <v>19</v>
      </c>
      <c r="F11" s="2">
        <f>E11*1.3%</f>
        <v>0.24700000000000003</v>
      </c>
      <c r="G11" s="2">
        <v>0</v>
      </c>
      <c r="H11" s="2">
        <f>E11*7.2%</f>
        <v>1.3680000000000001</v>
      </c>
      <c r="I11" s="2">
        <f>E11*30%</f>
        <v>5.7</v>
      </c>
      <c r="J11" s="2">
        <f>E11*0.06%</f>
        <v>1.1399999999999999E-2</v>
      </c>
      <c r="K11" s="2">
        <f>E11*5%</f>
        <v>0.95000000000000007</v>
      </c>
      <c r="L11" s="2">
        <v>0</v>
      </c>
      <c r="M11" s="2">
        <f>E11*51%</f>
        <v>9.69</v>
      </c>
      <c r="N11" s="2">
        <f>E11*55%</f>
        <v>10.450000000000001</v>
      </c>
      <c r="O11" s="2">
        <f>E11*38%</f>
        <v>7.22</v>
      </c>
      <c r="P11" s="2">
        <f>E11*0.7%</f>
        <v>0.13299999999999998</v>
      </c>
      <c r="Q11" s="2">
        <v>60</v>
      </c>
      <c r="R11" s="2">
        <f>C11/1000*60</f>
        <v>1.44</v>
      </c>
    </row>
    <row r="12" spans="1:18" s="11" customFormat="1" ht="22.15" customHeight="1" x14ac:dyDescent="0.3">
      <c r="A12" s="17"/>
      <c r="B12" s="15" t="s">
        <v>22</v>
      </c>
      <c r="C12" s="2">
        <v>24</v>
      </c>
      <c r="D12" s="2">
        <f>C12*0.16</f>
        <v>3.84</v>
      </c>
      <c r="E12" s="2">
        <f>C12-D12</f>
        <v>20.16</v>
      </c>
      <c r="F12" s="2">
        <f>E12*1.4%</f>
        <v>0.28223999999999999</v>
      </c>
      <c r="G12">
        <v>0</v>
      </c>
      <c r="H12" s="2">
        <f>E12*9.1%</f>
        <v>1.83456</v>
      </c>
      <c r="I12" s="2">
        <f>E12*41%</f>
        <v>8.2655999999999992</v>
      </c>
      <c r="J12" s="2">
        <f>E12*0.05%</f>
        <v>1.008E-2</v>
      </c>
      <c r="K12" s="2">
        <f>E12*10%</f>
        <v>2.016</v>
      </c>
      <c r="L12" s="2">
        <v>0</v>
      </c>
      <c r="M12" s="2">
        <f>E12*31%</f>
        <v>6.2496</v>
      </c>
      <c r="N12" s="2">
        <f>E12*58%</f>
        <v>11.6928</v>
      </c>
      <c r="O12" s="2">
        <f>E12*14%</f>
        <v>2.8224000000000005</v>
      </c>
      <c r="P12" s="2">
        <f>E12*0.8%</f>
        <v>0.16128000000000001</v>
      </c>
      <c r="Q12" s="2">
        <v>40</v>
      </c>
      <c r="R12" s="2">
        <f>C12/1000*40</f>
        <v>0.96</v>
      </c>
    </row>
    <row r="13" spans="1:18" s="12" customFormat="1" ht="22.15" customHeight="1" x14ac:dyDescent="0.3">
      <c r="A13" s="6"/>
      <c r="B13" s="24" t="s">
        <v>31</v>
      </c>
      <c r="C13" s="24">
        <v>10</v>
      </c>
      <c r="D13" s="24">
        <v>0</v>
      </c>
      <c r="E13" s="24">
        <f>C13-D13</f>
        <v>10</v>
      </c>
      <c r="F13" s="24">
        <f>E13*7.9%</f>
        <v>0.79</v>
      </c>
      <c r="G13" s="24">
        <f>E13*1%</f>
        <v>0.1</v>
      </c>
      <c r="H13" s="24">
        <f>E13*48.1%</f>
        <v>4.8100000000000005</v>
      </c>
      <c r="I13" s="24">
        <f>E13*239%</f>
        <v>23.900000000000002</v>
      </c>
      <c r="J13" s="24">
        <f>E13*0.16%</f>
        <v>1.6E-2</v>
      </c>
      <c r="K13" s="24">
        <v>0</v>
      </c>
      <c r="L13" s="24">
        <v>0</v>
      </c>
      <c r="M13" s="24">
        <f>E13*23%</f>
        <v>2.3000000000000003</v>
      </c>
      <c r="N13" s="24">
        <f>E13*87%</f>
        <v>8.6999999999999993</v>
      </c>
      <c r="O13" s="24">
        <f>E13*33%</f>
        <v>3.3000000000000003</v>
      </c>
      <c r="P13" s="24">
        <f>E13*2%</f>
        <v>0.2</v>
      </c>
      <c r="Q13" s="24">
        <v>30</v>
      </c>
      <c r="R13" s="24">
        <f>C13/1000*30</f>
        <v>0.3</v>
      </c>
    </row>
    <row r="14" spans="1:18" s="12" customFormat="1" x14ac:dyDescent="0.2">
      <c r="A14" s="25"/>
      <c r="B14" s="26" t="s">
        <v>32</v>
      </c>
      <c r="C14" s="26">
        <v>3</v>
      </c>
      <c r="D14" s="26">
        <v>0</v>
      </c>
      <c r="E14" s="26">
        <f>SUM(C14:D14)</f>
        <v>3</v>
      </c>
      <c r="F14" s="26">
        <f>E14*1%</f>
        <v>0.03</v>
      </c>
      <c r="G14" s="26">
        <v>0</v>
      </c>
      <c r="H14" s="26">
        <f>E14*3.5%</f>
        <v>0.10500000000000001</v>
      </c>
      <c r="I14" s="26">
        <f>E14*19%</f>
        <v>0.57000000000000006</v>
      </c>
      <c r="J14" s="26">
        <f>E14*0.03%</f>
        <v>8.9999999999999998E-4</v>
      </c>
      <c r="K14" s="26">
        <f>E14*10%</f>
        <v>0.30000000000000004</v>
      </c>
      <c r="L14" s="26">
        <v>0</v>
      </c>
      <c r="M14" s="26">
        <f>C14*7%</f>
        <v>0.21000000000000002</v>
      </c>
      <c r="N14" s="26">
        <f>E14*32%</f>
        <v>0.96</v>
      </c>
      <c r="O14" s="26">
        <f>E14*12%</f>
        <v>0.36</v>
      </c>
      <c r="P14" s="26">
        <f>E14*0.7%</f>
        <v>2.0999999999999998E-2</v>
      </c>
      <c r="Q14" s="26">
        <v>150</v>
      </c>
      <c r="R14" s="26">
        <f>C14/1000*150</f>
        <v>0.45</v>
      </c>
    </row>
    <row r="15" spans="1:18" s="12" customFormat="1" ht="18.75" x14ac:dyDescent="0.3">
      <c r="A15" s="17"/>
      <c r="B15" s="15" t="s">
        <v>33</v>
      </c>
      <c r="C15" s="2">
        <v>10</v>
      </c>
      <c r="D15" s="2">
        <v>0</v>
      </c>
      <c r="E15" s="2">
        <f>SUM(C15:D15)</f>
        <v>10</v>
      </c>
      <c r="F15" s="2">
        <v>0</v>
      </c>
      <c r="G15" s="16">
        <f>E15*0.999</f>
        <v>9.99</v>
      </c>
      <c r="H15" s="2">
        <v>0</v>
      </c>
      <c r="I15" s="2">
        <f>E15*8.99%</f>
        <v>0.89900000000000002</v>
      </c>
      <c r="J15" s="2">
        <f>E15*0.06%</f>
        <v>5.9999999999999993E-3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150</v>
      </c>
      <c r="R15" s="2">
        <f>C15/1000*150</f>
        <v>1.5</v>
      </c>
    </row>
    <row r="16" spans="1:18" s="12" customFormat="1" ht="18.75" x14ac:dyDescent="0.25">
      <c r="A16" s="27"/>
      <c r="B16" s="28" t="s">
        <v>19</v>
      </c>
      <c r="C16" s="29">
        <f t="shared" ref="C16:P16" si="1">SUM(C10:C15)</f>
        <v>131</v>
      </c>
      <c r="D16" s="29">
        <f t="shared" si="1"/>
        <v>24.68</v>
      </c>
      <c r="E16" s="29">
        <f t="shared" si="1"/>
        <v>106.32</v>
      </c>
      <c r="F16" s="29">
        <f t="shared" si="1"/>
        <v>9.5630000000000006</v>
      </c>
      <c r="G16" s="29">
        <f t="shared" si="1"/>
        <v>17.1556</v>
      </c>
      <c r="H16" s="29">
        <f t="shared" si="1"/>
        <v>8.117560000000001</v>
      </c>
      <c r="I16" s="29">
        <f t="shared" si="1"/>
        <v>135.60339999999999</v>
      </c>
      <c r="J16" s="29">
        <f t="shared" si="1"/>
        <v>7.0875999999999995E-2</v>
      </c>
      <c r="K16" s="29">
        <f t="shared" si="1"/>
        <v>3.266</v>
      </c>
      <c r="L16" s="29">
        <f t="shared" si="1"/>
        <v>0</v>
      </c>
      <c r="M16" s="29">
        <f t="shared" si="1"/>
        <v>22.423999999999999</v>
      </c>
      <c r="N16" s="29">
        <f t="shared" si="1"/>
        <v>114.8236</v>
      </c>
      <c r="O16" s="29">
        <f t="shared" si="1"/>
        <v>23.4176</v>
      </c>
      <c r="P16" s="29">
        <f t="shared" si="1"/>
        <v>1.7076</v>
      </c>
      <c r="Q16" s="29"/>
      <c r="R16" s="29">
        <f>SUM(R10:R15)</f>
        <v>33.150000000000006</v>
      </c>
    </row>
    <row r="17" spans="1:18" s="12" customFormat="1" ht="21" x14ac:dyDescent="0.35">
      <c r="A17" s="4"/>
      <c r="B17" s="44" t="s">
        <v>24</v>
      </c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6"/>
    </row>
    <row r="18" spans="1:18" s="12" customFormat="1" ht="18.75" x14ac:dyDescent="0.3">
      <c r="A18" s="4"/>
      <c r="B18" s="5" t="s">
        <v>19</v>
      </c>
      <c r="C18" s="3">
        <v>30</v>
      </c>
      <c r="D18" s="3">
        <v>0</v>
      </c>
      <c r="E18" s="3">
        <v>30</v>
      </c>
      <c r="F18" s="3">
        <f>E18*7.9%</f>
        <v>2.37</v>
      </c>
      <c r="G18" s="3">
        <f>E18*1%</f>
        <v>0.3</v>
      </c>
      <c r="H18" s="3">
        <f>E18*48.1%</f>
        <v>14.430000000000001</v>
      </c>
      <c r="I18" s="3">
        <f>E18*239%</f>
        <v>71.7</v>
      </c>
      <c r="J18" s="3">
        <f>E18*0.16%</f>
        <v>4.8000000000000001E-2</v>
      </c>
      <c r="K18" s="3">
        <v>0</v>
      </c>
      <c r="L18" s="3">
        <v>0</v>
      </c>
      <c r="M18" s="3">
        <f>E18*23%</f>
        <v>6.9</v>
      </c>
      <c r="N18" s="3">
        <f>E18*87%</f>
        <v>26.1</v>
      </c>
      <c r="O18" s="3">
        <f>E18*33%</f>
        <v>9.9</v>
      </c>
      <c r="P18" s="3">
        <f>E18*2%</f>
        <v>0.6</v>
      </c>
      <c r="Q18" s="3">
        <v>50</v>
      </c>
      <c r="R18" s="3">
        <f>C18/1000*50</f>
        <v>1.5</v>
      </c>
    </row>
    <row r="19" spans="1:18" s="13" customFormat="1" ht="21" x14ac:dyDescent="0.35">
      <c r="A19" s="4"/>
      <c r="B19" s="44" t="s">
        <v>34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6"/>
    </row>
    <row r="20" spans="1:18" s="14" customFormat="1" ht="18.75" x14ac:dyDescent="0.3">
      <c r="A20" s="4"/>
      <c r="B20" s="2" t="s">
        <v>35</v>
      </c>
      <c r="C20" s="2">
        <v>15</v>
      </c>
      <c r="D20" s="2">
        <v>0</v>
      </c>
      <c r="E20" s="2">
        <v>15</v>
      </c>
      <c r="F20" s="2">
        <f>E20*5.2%</f>
        <v>0.78</v>
      </c>
      <c r="G20" s="2">
        <v>0</v>
      </c>
      <c r="H20" s="2">
        <f>E20*55%</f>
        <v>8.25</v>
      </c>
      <c r="I20" s="2">
        <f>E20*234%</f>
        <v>35.099999999999994</v>
      </c>
      <c r="J20" s="2">
        <f>E20*0.1%</f>
        <v>1.4999999999999999E-2</v>
      </c>
      <c r="K20" s="2">
        <f>E20*4%</f>
        <v>0.6</v>
      </c>
      <c r="L20" s="2">
        <v>0</v>
      </c>
      <c r="M20" s="2">
        <f>E20*160%</f>
        <v>24</v>
      </c>
      <c r="N20" s="2">
        <f>E20*146%</f>
        <v>21.9</v>
      </c>
      <c r="O20" s="2">
        <f>E20*105%</f>
        <v>15.75</v>
      </c>
      <c r="P20" s="2">
        <f>E20*3.2%</f>
        <v>0.48</v>
      </c>
      <c r="Q20" s="2">
        <v>350</v>
      </c>
      <c r="R20" s="2">
        <f>C20/1000*350</f>
        <v>5.25</v>
      </c>
    </row>
    <row r="21" spans="1:18" s="14" customFormat="1" ht="18.75" x14ac:dyDescent="0.3">
      <c r="A21" s="4"/>
      <c r="B21" s="2" t="s">
        <v>20</v>
      </c>
      <c r="C21" s="2">
        <v>10</v>
      </c>
      <c r="D21" s="2">
        <v>0</v>
      </c>
      <c r="E21" s="2">
        <v>10</v>
      </c>
      <c r="F21" s="2">
        <v>0</v>
      </c>
      <c r="G21" s="2">
        <v>0</v>
      </c>
      <c r="H21" s="2">
        <f>E21*99.8%</f>
        <v>9.98</v>
      </c>
      <c r="I21" s="2">
        <f>E21*379%</f>
        <v>37.9</v>
      </c>
      <c r="J21" s="2">
        <v>0</v>
      </c>
      <c r="K21" s="2">
        <v>0</v>
      </c>
      <c r="L21" s="2">
        <v>0</v>
      </c>
      <c r="M21" s="2">
        <f>E21*2%</f>
        <v>0.2</v>
      </c>
      <c r="N21" s="2">
        <v>0</v>
      </c>
      <c r="O21" s="2">
        <v>0</v>
      </c>
      <c r="P21" s="2">
        <f>E21*0.3%</f>
        <v>0.03</v>
      </c>
      <c r="Q21" s="2">
        <v>60</v>
      </c>
      <c r="R21" s="2">
        <f>C21/1000*60</f>
        <v>0.6</v>
      </c>
    </row>
    <row r="22" spans="1:18" s="7" customFormat="1" ht="18.75" x14ac:dyDescent="0.3">
      <c r="A22" s="4"/>
      <c r="B22" s="5" t="s">
        <v>19</v>
      </c>
      <c r="C22" s="3">
        <v>25</v>
      </c>
      <c r="D22" s="3">
        <f t="shared" ref="D22" si="2">SUM(D20:D21)</f>
        <v>0</v>
      </c>
      <c r="E22" s="3">
        <v>150</v>
      </c>
      <c r="F22" s="3">
        <f t="shared" ref="F22:P22" si="3">SUM(F20:F21)</f>
        <v>0.78</v>
      </c>
      <c r="G22" s="3">
        <f t="shared" si="3"/>
        <v>0</v>
      </c>
      <c r="H22" s="3">
        <f t="shared" si="3"/>
        <v>18.23</v>
      </c>
      <c r="I22" s="3">
        <f t="shared" si="3"/>
        <v>73</v>
      </c>
      <c r="J22" s="3">
        <f t="shared" si="3"/>
        <v>1.4999999999999999E-2</v>
      </c>
      <c r="K22" s="3">
        <f t="shared" si="3"/>
        <v>0.6</v>
      </c>
      <c r="L22" s="3">
        <f t="shared" si="3"/>
        <v>0</v>
      </c>
      <c r="M22" s="3">
        <f t="shared" si="3"/>
        <v>24.2</v>
      </c>
      <c r="N22" s="3">
        <f t="shared" si="3"/>
        <v>21.9</v>
      </c>
      <c r="O22" s="3">
        <f t="shared" si="3"/>
        <v>15.75</v>
      </c>
      <c r="P22" s="3">
        <f t="shared" si="3"/>
        <v>0.51</v>
      </c>
      <c r="Q22" s="3"/>
      <c r="R22" s="3">
        <f>SUM(R20:R21)</f>
        <v>5.85</v>
      </c>
    </row>
    <row r="23" spans="1:18" s="14" customFormat="1" ht="21" x14ac:dyDescent="0.35">
      <c r="A23" s="6"/>
      <c r="B23" s="44" t="s">
        <v>37</v>
      </c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8"/>
    </row>
    <row r="24" spans="1:18" s="14" customFormat="1" ht="18.75" x14ac:dyDescent="0.3">
      <c r="A24" s="6"/>
      <c r="B24" s="5" t="s">
        <v>19</v>
      </c>
      <c r="C24" s="3">
        <v>150</v>
      </c>
      <c r="D24" s="3">
        <v>0</v>
      </c>
      <c r="E24" s="3">
        <f>C24-D24</f>
        <v>150</v>
      </c>
      <c r="F24" s="3">
        <f>E24*0.6%</f>
        <v>0.9</v>
      </c>
      <c r="G24" s="3">
        <f>E24*0.2%</f>
        <v>0.3</v>
      </c>
      <c r="H24" s="3">
        <f>E24*15%</f>
        <v>22.5</v>
      </c>
      <c r="I24" s="3">
        <f>E24*65%</f>
        <v>97.5</v>
      </c>
      <c r="J24" s="3">
        <f>E24*0.05%</f>
        <v>7.4999999999999997E-2</v>
      </c>
      <c r="K24" s="3">
        <f>E24*6%</f>
        <v>9</v>
      </c>
      <c r="L24" s="3">
        <v>0</v>
      </c>
      <c r="M24" s="3">
        <f>E24*45%</f>
        <v>67.5</v>
      </c>
      <c r="N24" s="3">
        <f>E24*22%</f>
        <v>33</v>
      </c>
      <c r="O24" s="3">
        <f>E24*17%</f>
        <v>25.500000000000004</v>
      </c>
      <c r="P24" s="3">
        <f>E24*0.6%</f>
        <v>0.9</v>
      </c>
      <c r="Q24" s="3">
        <v>60</v>
      </c>
      <c r="R24" s="3">
        <f>C24/1000*60</f>
        <v>9</v>
      </c>
    </row>
    <row r="25" spans="1:18" s="14" customFormat="1" ht="21" x14ac:dyDescent="0.35">
      <c r="A25" s="4"/>
      <c r="B25" s="31" t="s">
        <v>36</v>
      </c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3"/>
    </row>
    <row r="26" spans="1:18" ht="18.75" x14ac:dyDescent="0.3">
      <c r="A26" s="4"/>
      <c r="B26" s="5" t="s">
        <v>19</v>
      </c>
      <c r="C26" s="18">
        <v>3</v>
      </c>
      <c r="D26" s="3">
        <v>0</v>
      </c>
      <c r="E26" s="18">
        <f>C26-D26</f>
        <v>3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20</v>
      </c>
      <c r="R26" s="18">
        <f>C26/1000*20</f>
        <v>0.06</v>
      </c>
    </row>
    <row r="27" spans="1:18" ht="18.75" x14ac:dyDescent="0.3">
      <c r="A27" s="4"/>
      <c r="B27" s="5"/>
      <c r="C27" s="18"/>
      <c r="D27" s="3"/>
      <c r="E27" s="18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18"/>
    </row>
    <row r="28" spans="1:18" s="14" customFormat="1" ht="19.149999999999999" customHeight="1" x14ac:dyDescent="0.35">
      <c r="A28" s="30"/>
      <c r="B28" s="19" t="s">
        <v>19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>
        <f>R26+R24+R22+R18+R16+R8</f>
        <v>61.010000000000005</v>
      </c>
    </row>
  </sheetData>
  <mergeCells count="25">
    <mergeCell ref="J2:L2"/>
    <mergeCell ref="B5:R5"/>
    <mergeCell ref="B19:R19"/>
    <mergeCell ref="R2:R4"/>
    <mergeCell ref="O3:O4"/>
    <mergeCell ref="D2:D4"/>
    <mergeCell ref="E2:E4"/>
    <mergeCell ref="G2:G4"/>
    <mergeCell ref="H2:H4"/>
    <mergeCell ref="B25:R25"/>
    <mergeCell ref="I2:I4"/>
    <mergeCell ref="P3:P4"/>
    <mergeCell ref="Q2:Q4"/>
    <mergeCell ref="J3:J4"/>
    <mergeCell ref="K3:K4"/>
    <mergeCell ref="L3:L4"/>
    <mergeCell ref="M3:M4"/>
    <mergeCell ref="N3:N4"/>
    <mergeCell ref="M2:P2"/>
    <mergeCell ref="B9:R9"/>
    <mergeCell ref="B17:R17"/>
    <mergeCell ref="B23:R23"/>
    <mergeCell ref="F2:F4"/>
    <mergeCell ref="B2:B3"/>
    <mergeCell ref="C2:C4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2022-11-16T15:18:45Z</dcterms:modified>
</cp:coreProperties>
</file>