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D2FD7C82-F814-4971-BB4E-D8253EA2FAC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R29" i="1" l="1"/>
  <c r="E29" i="1"/>
  <c r="R27" i="1"/>
  <c r="O27" i="1"/>
  <c r="E27" i="1"/>
  <c r="M27" i="1" s="1"/>
  <c r="O25" i="1"/>
  <c r="N25" i="1"/>
  <c r="L25" i="1"/>
  <c r="K25" i="1"/>
  <c r="J25" i="1"/>
  <c r="H25" i="1"/>
  <c r="G25" i="1"/>
  <c r="F25" i="1"/>
  <c r="D25" i="1"/>
  <c r="C25" i="1"/>
  <c r="R24" i="1"/>
  <c r="P24" i="1"/>
  <c r="P25" i="1" s="1"/>
  <c r="M24" i="1"/>
  <c r="M25" i="1" s="1"/>
  <c r="I24" i="1"/>
  <c r="I25" i="1" s="1"/>
  <c r="H24" i="1"/>
  <c r="R23" i="1"/>
  <c r="N23" i="1"/>
  <c r="F23" i="1"/>
  <c r="E23" i="1"/>
  <c r="P23" i="1" s="1"/>
  <c r="R21" i="1"/>
  <c r="J21" i="1"/>
  <c r="F21" i="1"/>
  <c r="E21" i="1"/>
  <c r="M21" i="1" s="1"/>
  <c r="C19" i="1"/>
  <c r="R18" i="1"/>
  <c r="E18" i="1"/>
  <c r="N18" i="1" s="1"/>
  <c r="R17" i="1"/>
  <c r="M17" i="1"/>
  <c r="E17" i="1"/>
  <c r="H17" i="1" s="1"/>
  <c r="R16" i="1"/>
  <c r="E16" i="1"/>
  <c r="P16" i="1" s="1"/>
  <c r="R15" i="1"/>
  <c r="D15" i="1"/>
  <c r="E15" i="1" s="1"/>
  <c r="R14" i="1"/>
  <c r="D14" i="1"/>
  <c r="E14" i="1" s="1"/>
  <c r="O14" i="1" s="1"/>
  <c r="R13" i="1"/>
  <c r="D13" i="1"/>
  <c r="E13" i="1" s="1"/>
  <c r="P13" i="1" s="1"/>
  <c r="R12" i="1"/>
  <c r="D12" i="1"/>
  <c r="E12" i="1" s="1"/>
  <c r="M12" i="1" s="1"/>
  <c r="L10" i="1"/>
  <c r="C10" i="1"/>
  <c r="R9" i="1"/>
  <c r="E9" i="1"/>
  <c r="I9" i="1" s="1"/>
  <c r="R8" i="1"/>
  <c r="D8" i="1"/>
  <c r="E8" i="1" s="1"/>
  <c r="R7" i="1"/>
  <c r="E7" i="1"/>
  <c r="G7" i="1" s="1"/>
  <c r="R6" i="1"/>
  <c r="D6" i="1"/>
  <c r="D10" i="1" s="1"/>
  <c r="P18" i="1" l="1"/>
  <c r="R19" i="1"/>
  <c r="G18" i="1"/>
  <c r="F18" i="1"/>
  <c r="G9" i="1"/>
  <c r="J18" i="1"/>
  <c r="F27" i="1"/>
  <c r="P8" i="1"/>
  <c r="O8" i="1"/>
  <c r="F8" i="1"/>
  <c r="J8" i="1"/>
  <c r="J7" i="1"/>
  <c r="D19" i="1"/>
  <c r="K23" i="1"/>
  <c r="I7" i="1"/>
  <c r="J13" i="1"/>
  <c r="K17" i="1"/>
  <c r="M18" i="1"/>
  <c r="J23" i="1"/>
  <c r="R25" i="1"/>
  <c r="R30" i="1" s="1"/>
  <c r="J27" i="1"/>
  <c r="P17" i="1"/>
  <c r="R10" i="1"/>
  <c r="O13" i="1"/>
  <c r="K27" i="1"/>
  <c r="F13" i="1"/>
  <c r="F17" i="1"/>
  <c r="P21" i="1"/>
  <c r="G23" i="1"/>
  <c r="O23" i="1"/>
  <c r="G27" i="1"/>
  <c r="P27" i="1"/>
  <c r="O15" i="1"/>
  <c r="J15" i="1"/>
  <c r="P15" i="1"/>
  <c r="K15" i="1"/>
  <c r="F15" i="1"/>
  <c r="M15" i="1"/>
  <c r="H15" i="1"/>
  <c r="N15" i="1"/>
  <c r="I15" i="1"/>
  <c r="J12" i="1"/>
  <c r="P12" i="1"/>
  <c r="I14" i="1"/>
  <c r="N14" i="1"/>
  <c r="I16" i="1"/>
  <c r="O16" i="1"/>
  <c r="I8" i="1"/>
  <c r="N8" i="1"/>
  <c r="I12" i="1"/>
  <c r="O12" i="1"/>
  <c r="I13" i="1"/>
  <c r="N13" i="1"/>
  <c r="H14" i="1"/>
  <c r="M14" i="1"/>
  <c r="H16" i="1"/>
  <c r="N16" i="1"/>
  <c r="J17" i="1"/>
  <c r="O17" i="1"/>
  <c r="I21" i="1"/>
  <c r="O21" i="1"/>
  <c r="H8" i="1"/>
  <c r="M8" i="1"/>
  <c r="J9" i="1"/>
  <c r="G12" i="1"/>
  <c r="N12" i="1"/>
  <c r="H13" i="1"/>
  <c r="M13" i="1"/>
  <c r="G14" i="1"/>
  <c r="K14" i="1"/>
  <c r="P14" i="1"/>
  <c r="P19" i="1" s="1"/>
  <c r="G16" i="1"/>
  <c r="M16" i="1"/>
  <c r="I17" i="1"/>
  <c r="N17" i="1"/>
  <c r="I18" i="1"/>
  <c r="O18" i="1"/>
  <c r="H21" i="1"/>
  <c r="N21" i="1"/>
  <c r="I23" i="1"/>
  <c r="M23" i="1"/>
  <c r="I27" i="1"/>
  <c r="N27" i="1"/>
  <c r="E6" i="1"/>
  <c r="G8" i="1"/>
  <c r="K8" i="1"/>
  <c r="F12" i="1"/>
  <c r="G13" i="1"/>
  <c r="G19" i="1" s="1"/>
  <c r="K13" i="1"/>
  <c r="F14" i="1"/>
  <c r="J14" i="1"/>
  <c r="F16" i="1"/>
  <c r="L16" i="1"/>
  <c r="L19" i="1" s="1"/>
  <c r="H18" i="1"/>
  <c r="G21" i="1"/>
  <c r="H23" i="1"/>
  <c r="L23" i="1"/>
  <c r="H27" i="1"/>
  <c r="J19" i="1" l="1"/>
  <c r="F19" i="1"/>
  <c r="O19" i="1"/>
  <c r="M19" i="1"/>
  <c r="K19" i="1"/>
  <c r="N19" i="1"/>
  <c r="N6" i="1"/>
  <c r="N10" i="1" s="1"/>
  <c r="I6" i="1"/>
  <c r="I10" i="1" s="1"/>
  <c r="E10" i="1"/>
  <c r="O6" i="1"/>
  <c r="O10" i="1" s="1"/>
  <c r="J6" i="1"/>
  <c r="J10" i="1" s="1"/>
  <c r="F6" i="1"/>
  <c r="F10" i="1" s="1"/>
  <c r="P6" i="1"/>
  <c r="P10" i="1" s="1"/>
  <c r="K6" i="1"/>
  <c r="K10" i="1" s="1"/>
  <c r="G6" i="1"/>
  <c r="G10" i="1" s="1"/>
  <c r="M6" i="1"/>
  <c r="M10" i="1" s="1"/>
  <c r="H6" i="1"/>
  <c r="H10" i="1" s="1"/>
  <c r="I19" i="1"/>
  <c r="H19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<sst xmlns="http://schemas.openxmlformats.org/spreadsheetml/2006/main" count="51" uniqueCount="44">
  <si>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</si>
  <si>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</si>
  <si>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</si>
  <si>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</si>
  <si>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</si>
  <si>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</si>
  <si>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</si>
  <si>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</si>
  <si>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</si>
  <si>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</si>
  <si>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</si>
  <si>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</si>
  <si>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</si>
  <si>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</si>
  <si>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</si>
  <si>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</si>
  <si>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</si>
  <si>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</si>
  <si>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</si>
  <si>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</si>
  <si>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4.чай</t>
  </si>
  <si>
    <t>чай</t>
  </si>
  <si>
    <t>сахар</t>
  </si>
  <si>
    <t>масло сливочное</t>
  </si>
  <si>
    <t>мясо говядины</t>
  </si>
  <si>
    <t>морковь</t>
  </si>
  <si>
    <t>лук</t>
  </si>
  <si>
    <t>томат</t>
  </si>
  <si>
    <t xml:space="preserve"> </t>
  </si>
  <si>
    <t>сумма</t>
  </si>
  <si>
    <t>всего грамм</t>
  </si>
  <si>
    <t>29.09.2021 г</t>
  </si>
  <si>
    <t xml:space="preserve">1.салат из овощей </t>
  </si>
  <si>
    <t>зел.горох</t>
  </si>
  <si>
    <t>капуста</t>
  </si>
  <si>
    <t>растит. масло</t>
  </si>
  <si>
    <t xml:space="preserve">2.суп картофельный с горохом,говядиной </t>
  </si>
  <si>
    <t>картофель</t>
  </si>
  <si>
    <t>горох зеленый</t>
  </si>
  <si>
    <t>3.хлеб</t>
  </si>
  <si>
    <t>6.яблоки</t>
  </si>
  <si>
    <t>6.соль</t>
  </si>
  <si>
    <t>МБОУ"Урхнищинская СОШ"</t>
  </si>
  <si>
    <t>20.11.2022г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</si>
</sst>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1" fontId="7" fillId="0" borderId="1" xfId="0" applyNumberFormat="1" applyFont="1" applyBorder="1"/>
    <xf numFmtId="14" fontId="2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1" fontId="8" fillId="0" borderId="1" xfId="0" applyNumberFormat="1" applyFont="1" applyBorder="1"/>
    <xf numFmtId="0" fontId="14" fillId="0" borderId="2" xfId="1" applyFont="1" applyBorder="1" applyAlignment="1">
      <alignment vertical="center" wrapText="1"/>
    </xf>
    <xf numFmtId="0" fontId="18" fillId="0" borderId="2" xfId="1" applyFont="1" applyBorder="1" applyAlignment="1">
      <alignment horizontal="left" vertical="top" wrapText="1"/>
    </xf>
    <xf numFmtId="2" fontId="16" fillId="0" borderId="2" xfId="0" applyNumberFormat="1" applyFont="1" applyBorder="1" applyAlignment="1">
      <alignment vertical="center"/>
    </xf>
    <xf numFmtId="2" fontId="16" fillId="2" borderId="1" xfId="1" applyNumberFormat="1" applyFont="1" applyFill="1" applyBorder="1" applyAlignment="1">
      <alignment vertical="center" wrapText="1"/>
    </xf>
    <xf numFmtId="2" fontId="9" fillId="0" borderId="1" xfId="0" applyNumberFormat="1" applyFont="1" applyBorder="1" applyAlignment="1">
      <alignment vertical="center"/>
    </xf>
    <xf numFmtId="2" fontId="16" fillId="0" borderId="7" xfId="0" applyNumberFormat="1" applyFont="1" applyBorder="1" applyAlignment="1">
      <alignment vertical="center"/>
    </xf>
    <xf numFmtId="2" fontId="25" fillId="2" borderId="1" xfId="1" applyNumberFormat="1" applyFont="1" applyFill="1" applyBorder="1" applyAlignment="1">
      <alignment vertical="center" wrapText="1"/>
    </xf>
    <xf numFmtId="2" fontId="6" fillId="0" borderId="6" xfId="0" applyNumberFormat="1" applyFont="1" applyBorder="1" applyAlignment="1">
      <alignment horizontal="left"/>
    </xf>
    <xf numFmtId="2" fontId="6" fillId="0" borderId="1" xfId="1" applyNumberFormat="1" applyFont="1" applyBorder="1" applyAlignment="1">
      <alignment horizontal="left" wrapText="1"/>
    </xf>
    <xf numFmtId="2" fontId="6" fillId="0" borderId="1" xfId="0" applyNumberFormat="1" applyFont="1" applyBorder="1" applyAlignment="1">
      <alignment horizontal="left"/>
    </xf>
    <xf numFmtId="1" fontId="26" fillId="0" borderId="1" xfId="0" applyNumberFormat="1" applyFont="1" applyBorder="1"/>
    <xf numFmtId="0" fontId="9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/>
    <xf numFmtId="1" fontId="28" fillId="0" borderId="1" xfId="0" applyNumberFormat="1" applyFont="1" applyBorder="1"/>
    <xf numFmtId="2" fontId="31" fillId="0" borderId="1" xfId="0" applyNumberFormat="1" applyFont="1" applyBorder="1"/>
    <xf numFmtId="2" fontId="19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2" fontId="29" fillId="0" borderId="3" xfId="0" applyNumberFormat="1" applyFont="1" applyBorder="1" applyAlignment="1">
      <alignment horizontal="center"/>
    </xf>
    <xf numFmtId="2" fontId="30" fillId="0" borderId="4" xfId="0" applyNumberFormat="1" applyFont="1" applyBorder="1" applyAlignment="1">
      <alignment horizontal="center"/>
    </xf>
    <xf numFmtId="2" fontId="30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4" fillId="0" borderId="2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22" fillId="2" borderId="7" xfId="1" applyFont="1" applyFill="1" applyBorder="1" applyAlignment="1">
      <alignment horizontal="center" vertical="top" wrapText="1"/>
    </xf>
    <xf numFmtId="0" fontId="23" fillId="0" borderId="6" xfId="0" applyFont="1" applyBorder="1"/>
    <xf numFmtId="2" fontId="24" fillId="0" borderId="3" xfId="1" applyNumberFormat="1" applyFont="1" applyBorder="1" applyAlignment="1">
      <alignment horizontal="center" vertical="center" wrapText="1"/>
    </xf>
    <xf numFmtId="2" fontId="24" fillId="0" borderId="4" xfId="1" applyNumberFormat="1" applyFont="1" applyBorder="1" applyAlignment="1">
      <alignment horizontal="center" vertical="center" wrapText="1"/>
    </xf>
    <xf numFmtId="2" fontId="24" fillId="0" borderId="5" xfId="1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13" fillId="0" borderId="1" xfId="1" applyFont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0" fillId="2" borderId="2" xfId="1" applyFont="1" applyFill="1" applyBorder="1" applyAlignment="1">
      <alignment horizontal="center" vertical="top"/>
    </xf>
    <xf numFmtId="0" fontId="20" fillId="2" borderId="7" xfId="1" applyFont="1" applyFill="1" applyBorder="1" applyAlignment="1">
      <alignment horizontal="center" vertical="top"/>
    </xf>
    <xf numFmtId="0" fontId="20" fillId="2" borderId="6" xfId="1" applyFont="1" applyFill="1" applyBorder="1" applyAlignment="1">
      <alignment horizontal="center" vertical="top"/>
    </xf>
    <xf numFmtId="0" fontId="3" fillId="0" borderId="2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workbookViewId="0">
      <selection activeCell="J1" sqref="J1"/>
    </sheetView>
  </sheetViews>
  <sheetFormatPr defaultRowHeight="15" x14ac:dyDescent="0.25"/>
  <cols>
    <col min="1" max="1" width="6.5703125" customWidth="1"/>
    <col min="2" max="2" width="15.7109375" customWidth="1"/>
    <col min="3" max="3" width="8.140625" customWidth="1"/>
    <col min="4" max="4" width="7.7109375" customWidth="1"/>
    <col min="5" max="5" width="7.5703125" customWidth="1"/>
    <col min="6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14" t="s">
        <v>42</v>
      </c>
      <c r="C1" s="14"/>
      <c r="D1" s="14"/>
      <c r="E1" s="14"/>
      <c r="F1" s="14"/>
      <c r="G1" s="14"/>
      <c r="H1" s="14"/>
      <c r="I1" s="14" t="s">
        <v>1</v>
      </c>
      <c r="J1" s="17" t="s">
        <v>43</v>
      </c>
      <c r="K1" s="15"/>
      <c r="L1" s="15"/>
      <c r="M1" s="15"/>
      <c r="N1" s="15"/>
      <c r="O1" s="15"/>
      <c r="P1" s="15"/>
      <c r="Q1" s="15"/>
      <c r="R1" s="15"/>
    </row>
    <row r="2" spans="1:18" ht="33" customHeight="1" x14ac:dyDescent="0.3">
      <c r="A2" s="23"/>
      <c r="B2" s="68" t="s">
        <v>5</v>
      </c>
      <c r="C2" s="24" t="s">
        <v>28</v>
      </c>
      <c r="D2" s="72" t="s">
        <v>6</v>
      </c>
      <c r="E2" s="72" t="s">
        <v>7</v>
      </c>
      <c r="F2" s="56" t="s">
        <v>2</v>
      </c>
      <c r="G2" s="56" t="s">
        <v>3</v>
      </c>
      <c r="H2" s="56" t="s">
        <v>4</v>
      </c>
      <c r="I2" s="56" t="s">
        <v>8</v>
      </c>
      <c r="J2" s="77" t="s">
        <v>9</v>
      </c>
      <c r="K2" s="77"/>
      <c r="L2" s="77"/>
      <c r="M2" s="77" t="s">
        <v>10</v>
      </c>
      <c r="N2" s="77"/>
      <c r="O2" s="77"/>
      <c r="P2" s="77"/>
      <c r="Q2" s="75" t="s">
        <v>11</v>
      </c>
      <c r="R2" s="69" t="s">
        <v>29</v>
      </c>
    </row>
    <row r="3" spans="1:18" ht="24" customHeight="1" x14ac:dyDescent="0.3">
      <c r="A3" s="23"/>
      <c r="B3" s="68"/>
      <c r="C3" s="60" t="s">
        <v>30</v>
      </c>
      <c r="D3" s="73"/>
      <c r="E3" s="73"/>
      <c r="F3" s="76"/>
      <c r="G3" s="76"/>
      <c r="H3" s="76"/>
      <c r="I3" s="76"/>
      <c r="J3" s="56" t="s">
        <v>12</v>
      </c>
      <c r="K3" s="58" t="s">
        <v>13</v>
      </c>
      <c r="L3" s="56" t="s">
        <v>14</v>
      </c>
      <c r="M3" s="56" t="s">
        <v>15</v>
      </c>
      <c r="N3" s="56" t="s">
        <v>16</v>
      </c>
      <c r="O3" s="56" t="s">
        <v>17</v>
      </c>
      <c r="P3" s="56" t="s">
        <v>18</v>
      </c>
      <c r="Q3" s="76"/>
      <c r="R3" s="70"/>
    </row>
    <row r="4" spans="1:18" ht="24" customHeight="1" x14ac:dyDescent="0.3">
      <c r="A4" s="23"/>
      <c r="B4" s="25" t="s">
        <v>31</v>
      </c>
      <c r="C4" s="61"/>
      <c r="D4" s="74"/>
      <c r="E4" s="74"/>
      <c r="F4" s="57"/>
      <c r="G4" s="57"/>
      <c r="H4" s="57"/>
      <c r="I4" s="57"/>
      <c r="J4" s="57"/>
      <c r="K4" s="59"/>
      <c r="L4" s="57"/>
      <c r="M4" s="57"/>
      <c r="N4" s="57"/>
      <c r="O4" s="57"/>
      <c r="P4" s="57"/>
      <c r="Q4" s="57"/>
      <c r="R4" s="71"/>
    </row>
    <row r="5" spans="1:18" s="6" customFormat="1" ht="19.149999999999999" customHeight="1" x14ac:dyDescent="0.25">
      <c r="A5" s="62" t="s">
        <v>32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4"/>
    </row>
    <row r="6" spans="1:18" s="7" customFormat="1" ht="22.15" customHeight="1" x14ac:dyDescent="0.25">
      <c r="A6" s="26"/>
      <c r="B6" s="27" t="s">
        <v>25</v>
      </c>
      <c r="C6" s="28">
        <v>15</v>
      </c>
      <c r="D6" s="28">
        <f>C6*0.2</f>
        <v>3</v>
      </c>
      <c r="E6" s="28">
        <f>C6-D6</f>
        <v>12</v>
      </c>
      <c r="F6" s="28">
        <f>E6*1.3%</f>
        <v>0.15600000000000003</v>
      </c>
      <c r="G6" s="28">
        <f>E6*0.001</f>
        <v>1.2E-2</v>
      </c>
      <c r="H6" s="28">
        <f>E6*0.072</f>
        <v>0.86399999999999988</v>
      </c>
      <c r="I6" s="28">
        <f>E6*0.3</f>
        <v>3.5999999999999996</v>
      </c>
      <c r="J6" s="28">
        <f>E6*0.06%</f>
        <v>7.1999999999999998E-3</v>
      </c>
      <c r="K6" s="28">
        <f>E6*5%</f>
        <v>0.60000000000000009</v>
      </c>
      <c r="L6" s="28">
        <v>0</v>
      </c>
      <c r="M6" s="28">
        <f>E6*51%</f>
        <v>6.12</v>
      </c>
      <c r="N6" s="28">
        <f>E6*55%</f>
        <v>6.6000000000000005</v>
      </c>
      <c r="O6" s="28">
        <f>E6*38%</f>
        <v>4.5600000000000005</v>
      </c>
      <c r="P6" s="28">
        <f>E6*0.7%</f>
        <v>8.3999999999999991E-2</v>
      </c>
      <c r="Q6" s="28">
        <v>55</v>
      </c>
      <c r="R6" s="28">
        <f>C6/1000*Q6</f>
        <v>0.82499999999999996</v>
      </c>
    </row>
    <row r="7" spans="1:18" s="8" customFormat="1" ht="19.149999999999999" customHeight="1" x14ac:dyDescent="0.25">
      <c r="A7" s="29"/>
      <c r="B7" s="30" t="s">
        <v>33</v>
      </c>
      <c r="C7" s="20">
        <v>10</v>
      </c>
      <c r="D7" s="20">
        <v>0</v>
      </c>
      <c r="E7" s="20">
        <f>C7-D7</f>
        <v>10</v>
      </c>
      <c r="F7" s="20">
        <v>0</v>
      </c>
      <c r="G7" s="20">
        <f>E7*0.999</f>
        <v>9.99</v>
      </c>
      <c r="H7" s="20">
        <v>0</v>
      </c>
      <c r="I7" s="20">
        <f>E7*8.99</f>
        <v>89.9</v>
      </c>
      <c r="J7" s="20">
        <f>E7*0.06%</f>
        <v>5.9999999999999993E-3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58</v>
      </c>
      <c r="R7" s="20">
        <f>C7/1000*Q7</f>
        <v>0.57999999999999996</v>
      </c>
    </row>
    <row r="8" spans="1:18" s="7" customFormat="1" ht="22.15" customHeight="1" x14ac:dyDescent="0.25">
      <c r="A8" s="29"/>
      <c r="B8" s="27" t="s">
        <v>34</v>
      </c>
      <c r="C8" s="28">
        <v>30</v>
      </c>
      <c r="D8" s="28">
        <f>C8*0.2</f>
        <v>6</v>
      </c>
      <c r="E8" s="28">
        <f>C8-D8</f>
        <v>24</v>
      </c>
      <c r="F8" s="28">
        <f>E8*0.018</f>
        <v>0.43199999999999994</v>
      </c>
      <c r="G8" s="28">
        <f>E8*0.001</f>
        <v>2.4E-2</v>
      </c>
      <c r="H8" s="28">
        <f>E8*0.047</f>
        <v>1.1280000000000001</v>
      </c>
      <c r="I8" s="28">
        <f>E8*0.27</f>
        <v>6.48</v>
      </c>
      <c r="J8" s="28">
        <f>E8*0.03%</f>
        <v>7.1999999999999998E-3</v>
      </c>
      <c r="K8" s="28">
        <f>E8*45%</f>
        <v>10.8</v>
      </c>
      <c r="L8" s="28">
        <v>0</v>
      </c>
      <c r="M8" s="28">
        <f>E8*48%</f>
        <v>11.52</v>
      </c>
      <c r="N8" s="28">
        <f>E8*31%</f>
        <v>7.4399999999999995</v>
      </c>
      <c r="O8" s="28">
        <f>E8*16%</f>
        <v>3.84</v>
      </c>
      <c r="P8" s="28">
        <f>E8*0.6%</f>
        <v>0.14400000000000002</v>
      </c>
      <c r="Q8" s="28">
        <v>25</v>
      </c>
      <c r="R8" s="28">
        <f>C8/1000*Q8</f>
        <v>0.75</v>
      </c>
    </row>
    <row r="9" spans="1:18" s="7" customFormat="1" ht="22.15" customHeight="1" x14ac:dyDescent="0.25">
      <c r="A9" s="29"/>
      <c r="B9" s="27" t="s">
        <v>35</v>
      </c>
      <c r="C9" s="28">
        <v>5</v>
      </c>
      <c r="D9" s="28">
        <v>0</v>
      </c>
      <c r="E9" s="28">
        <f>C9-D9</f>
        <v>5</v>
      </c>
      <c r="F9" s="28">
        <v>0</v>
      </c>
      <c r="G9" s="28">
        <f>E9*0.999</f>
        <v>4.9950000000000001</v>
      </c>
      <c r="H9" s="28">
        <v>0</v>
      </c>
      <c r="I9" s="28">
        <f>E9*8.99%</f>
        <v>0.44950000000000001</v>
      </c>
      <c r="J9" s="28">
        <f>E9*0.06%</f>
        <v>2.9999999999999996E-3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145</v>
      </c>
      <c r="R9" s="28">
        <f>C9/1000*Q9</f>
        <v>0.72499999999999998</v>
      </c>
    </row>
    <row r="10" spans="1:18" s="9" customFormat="1" ht="22.15" customHeight="1" x14ac:dyDescent="0.25">
      <c r="A10" s="31"/>
      <c r="B10" s="32" t="s">
        <v>19</v>
      </c>
      <c r="C10" s="33">
        <f>SUM(C6:C9)</f>
        <v>60</v>
      </c>
      <c r="D10" s="33">
        <f t="shared" ref="D10:P10" si="0">SUM(D6:D9)</f>
        <v>9</v>
      </c>
      <c r="E10" s="33">
        <f t="shared" si="0"/>
        <v>51</v>
      </c>
      <c r="F10" s="33">
        <f t="shared" si="0"/>
        <v>0.58799999999999997</v>
      </c>
      <c r="G10" s="33">
        <f t="shared" si="0"/>
        <v>15.021000000000001</v>
      </c>
      <c r="H10" s="33">
        <f t="shared" si="0"/>
        <v>1.992</v>
      </c>
      <c r="I10" s="33">
        <f t="shared" si="0"/>
        <v>100.4295</v>
      </c>
      <c r="J10" s="33">
        <f t="shared" si="0"/>
        <v>2.3400000000000001E-2</v>
      </c>
      <c r="K10" s="33">
        <f t="shared" si="0"/>
        <v>11.4</v>
      </c>
      <c r="L10" s="33">
        <f t="shared" si="0"/>
        <v>0</v>
      </c>
      <c r="M10" s="33">
        <f t="shared" si="0"/>
        <v>17.64</v>
      </c>
      <c r="N10" s="33">
        <f t="shared" si="0"/>
        <v>14.04</v>
      </c>
      <c r="O10" s="33">
        <f t="shared" si="0"/>
        <v>8.4</v>
      </c>
      <c r="P10" s="33">
        <f t="shared" si="0"/>
        <v>0.22800000000000001</v>
      </c>
      <c r="Q10" s="33"/>
      <c r="R10" s="33">
        <f>SUM(R6:R9)</f>
        <v>2.88</v>
      </c>
    </row>
    <row r="11" spans="1:18" s="6" customFormat="1" ht="21" x14ac:dyDescent="0.35">
      <c r="A11" s="34"/>
      <c r="B11" s="65" t="s">
        <v>36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7"/>
    </row>
    <row r="12" spans="1:18" s="10" customFormat="1" ht="22.15" customHeight="1" x14ac:dyDescent="0.25">
      <c r="A12" s="18"/>
      <c r="B12" s="19" t="s">
        <v>24</v>
      </c>
      <c r="C12" s="20">
        <v>65</v>
      </c>
      <c r="D12" s="20">
        <f>C12*26.4%</f>
        <v>17.16</v>
      </c>
      <c r="E12" s="20">
        <f>SUM(C12-D12)</f>
        <v>47.84</v>
      </c>
      <c r="F12" s="20">
        <f>E12*18.6%</f>
        <v>8.8982400000000013</v>
      </c>
      <c r="G12" s="20">
        <f>E12*16%</f>
        <v>7.6544000000000008</v>
      </c>
      <c r="H12" s="20">
        <v>0</v>
      </c>
      <c r="I12" s="20">
        <f>E12*218%</f>
        <v>104.29120000000002</v>
      </c>
      <c r="J12" s="20">
        <f>E12*0.06%</f>
        <v>2.8704E-2</v>
      </c>
      <c r="K12" s="20">
        <v>0</v>
      </c>
      <c r="L12" s="20">
        <v>0</v>
      </c>
      <c r="M12" s="20">
        <f>E12*9%</f>
        <v>4.3056000000000001</v>
      </c>
      <c r="N12" s="20">
        <f>E12*188%</f>
        <v>89.9392</v>
      </c>
      <c r="O12" s="20">
        <f>E12*22%</f>
        <v>10.524800000000001</v>
      </c>
      <c r="P12" s="20">
        <f>E12*2.7%</f>
        <v>1.2916800000000002</v>
      </c>
      <c r="Q12" s="20">
        <v>390</v>
      </c>
      <c r="R12" s="20">
        <f t="shared" ref="R12:R18" si="1">C12/1000*Q12</f>
        <v>25.35</v>
      </c>
    </row>
    <row r="13" spans="1:18" s="11" customFormat="1" ht="22.15" customHeight="1" x14ac:dyDescent="0.25">
      <c r="A13" s="21"/>
      <c r="B13" s="35" t="s">
        <v>37</v>
      </c>
      <c r="C13" s="28">
        <v>45</v>
      </c>
      <c r="D13" s="28">
        <f>C13*0.25</f>
        <v>11.25</v>
      </c>
      <c r="E13" s="28">
        <f>C13-D13</f>
        <v>33.75</v>
      </c>
      <c r="F13" s="28">
        <f>E13*2%</f>
        <v>0.67500000000000004</v>
      </c>
      <c r="G13" s="28">
        <f>E13*0.4%</f>
        <v>0.13500000000000001</v>
      </c>
      <c r="H13" s="28">
        <f>E13*16.3%</f>
        <v>5.5012500000000006</v>
      </c>
      <c r="I13" s="28">
        <f>E13*80%</f>
        <v>27</v>
      </c>
      <c r="J13" s="28">
        <f>E13*0.12%</f>
        <v>4.0499999999999994E-2</v>
      </c>
      <c r="K13" s="28">
        <f>E13*20%</f>
        <v>6.75</v>
      </c>
      <c r="L13" s="28">
        <v>0</v>
      </c>
      <c r="M13" s="28">
        <f>E13*10%</f>
        <v>3.375</v>
      </c>
      <c r="N13" s="28">
        <f>E13*58%</f>
        <v>19.574999999999999</v>
      </c>
      <c r="O13" s="28">
        <f>E13*23%</f>
        <v>7.7625000000000002</v>
      </c>
      <c r="P13" s="28">
        <f>E13*0.9%</f>
        <v>0.30375000000000002</v>
      </c>
      <c r="Q13" s="28">
        <v>50</v>
      </c>
      <c r="R13" s="28">
        <f t="shared" si="1"/>
        <v>2.25</v>
      </c>
    </row>
    <row r="14" spans="1:18" s="11" customFormat="1" ht="18.75" x14ac:dyDescent="0.25">
      <c r="A14" s="21"/>
      <c r="B14" s="35" t="s">
        <v>25</v>
      </c>
      <c r="C14" s="28">
        <v>15</v>
      </c>
      <c r="D14" s="28">
        <f>C14*0.2</f>
        <v>3</v>
      </c>
      <c r="E14" s="28">
        <f>C14-D14</f>
        <v>12</v>
      </c>
      <c r="F14" s="28">
        <f>E14*1.3%</f>
        <v>0.15600000000000003</v>
      </c>
      <c r="G14" s="36">
        <f>E14*0.001</f>
        <v>1.2E-2</v>
      </c>
      <c r="H14" s="28">
        <f>E14*0.072</f>
        <v>0.86399999999999988</v>
      </c>
      <c r="I14" s="28">
        <f>E14*0.3</f>
        <v>3.5999999999999996</v>
      </c>
      <c r="J14" s="28">
        <f>E14*0.06%</f>
        <v>7.1999999999999998E-3</v>
      </c>
      <c r="K14" s="28">
        <f>E14*5%</f>
        <v>0.60000000000000009</v>
      </c>
      <c r="L14" s="28">
        <v>0</v>
      </c>
      <c r="M14" s="28">
        <f>E14*51%</f>
        <v>6.12</v>
      </c>
      <c r="N14" s="28">
        <f>E14*55%</f>
        <v>6.6000000000000005</v>
      </c>
      <c r="O14" s="28">
        <f>E14*38%</f>
        <v>4.5600000000000005</v>
      </c>
      <c r="P14" s="28">
        <f>E14*0.7%</f>
        <v>8.3999999999999991E-2</v>
      </c>
      <c r="Q14" s="28">
        <v>55</v>
      </c>
      <c r="R14" s="35">
        <f t="shared" si="1"/>
        <v>0.82499999999999996</v>
      </c>
    </row>
    <row r="15" spans="1:18" s="11" customFormat="1" ht="18.75" x14ac:dyDescent="0.25">
      <c r="A15" s="21"/>
      <c r="B15" s="35" t="s">
        <v>26</v>
      </c>
      <c r="C15" s="28">
        <v>17</v>
      </c>
      <c r="D15" s="28">
        <f>C15*0.16</f>
        <v>2.72</v>
      </c>
      <c r="E15" s="28">
        <f>C15-D15</f>
        <v>14.28</v>
      </c>
      <c r="F15" s="28">
        <f>E15*1.4%</f>
        <v>0.19991999999999996</v>
      </c>
      <c r="G15" s="11">
        <v>0</v>
      </c>
      <c r="H15" s="28">
        <f>E15*9.1%</f>
        <v>1.29948</v>
      </c>
      <c r="I15" s="28">
        <f>E15*41%</f>
        <v>5.8547999999999991</v>
      </c>
      <c r="J15" s="28">
        <f>E15*0.05%</f>
        <v>7.1399999999999996E-3</v>
      </c>
      <c r="K15" s="28">
        <f>E15*10%</f>
        <v>1.4279999999999999</v>
      </c>
      <c r="L15" s="28">
        <v>0</v>
      </c>
      <c r="M15" s="28">
        <f>E15*31%</f>
        <v>4.4268000000000001</v>
      </c>
      <c r="N15" s="28">
        <f>E15*58%</f>
        <v>8.2823999999999991</v>
      </c>
      <c r="O15" s="28">
        <f>E15*14%</f>
        <v>1.9992000000000001</v>
      </c>
      <c r="P15" s="28">
        <f>E15*0.8%</f>
        <v>0.11423999999999999</v>
      </c>
      <c r="Q15" s="28">
        <v>35</v>
      </c>
      <c r="R15" s="28">
        <f t="shared" si="1"/>
        <v>0.59500000000000008</v>
      </c>
    </row>
    <row r="16" spans="1:18" s="11" customFormat="1" ht="18.75" x14ac:dyDescent="0.25">
      <c r="A16" s="18"/>
      <c r="B16" s="35" t="s">
        <v>23</v>
      </c>
      <c r="C16" s="28">
        <v>10</v>
      </c>
      <c r="D16" s="28">
        <v>0</v>
      </c>
      <c r="E16" s="28">
        <f>C16-D16</f>
        <v>10</v>
      </c>
      <c r="F16" s="28">
        <f>E16*0.5%</f>
        <v>0.05</v>
      </c>
      <c r="G16" s="28">
        <f>E16*82.5%</f>
        <v>8.25</v>
      </c>
      <c r="H16" s="28">
        <f>E16*0.8%</f>
        <v>0.08</v>
      </c>
      <c r="I16" s="28">
        <f>E16*748%</f>
        <v>74.800000000000011</v>
      </c>
      <c r="J16" s="28">
        <v>0</v>
      </c>
      <c r="K16" s="28">
        <v>0</v>
      </c>
      <c r="L16" s="28">
        <f>E16*0.59%</f>
        <v>5.8999999999999997E-2</v>
      </c>
      <c r="M16" s="28">
        <f>E16*12%</f>
        <v>1.2</v>
      </c>
      <c r="N16" s="28">
        <f>E16*19%</f>
        <v>1.9</v>
      </c>
      <c r="O16" s="28">
        <f>E16*0.4%</f>
        <v>0.04</v>
      </c>
      <c r="P16" s="28">
        <f>E16*0.2%</f>
        <v>0.02</v>
      </c>
      <c r="Q16" s="28">
        <v>635</v>
      </c>
      <c r="R16" s="22">
        <f t="shared" si="1"/>
        <v>6.3500000000000005</v>
      </c>
    </row>
    <row r="17" spans="1:18" s="11" customFormat="1" x14ac:dyDescent="0.25">
      <c r="A17" s="37"/>
      <c r="B17" s="28" t="s">
        <v>27</v>
      </c>
      <c r="C17" s="28">
        <v>5</v>
      </c>
      <c r="D17" s="28">
        <v>0</v>
      </c>
      <c r="E17" s="28">
        <f>SUM(C17:D17)</f>
        <v>5</v>
      </c>
      <c r="F17" s="28">
        <f>E17*1%</f>
        <v>0.05</v>
      </c>
      <c r="G17" s="28">
        <v>0</v>
      </c>
      <c r="H17" s="28">
        <f>E17*3.5%</f>
        <v>0.17500000000000002</v>
      </c>
      <c r="I17" s="28">
        <f>E17*19%</f>
        <v>0.95</v>
      </c>
      <c r="J17" s="28">
        <f>E17*0.03%</f>
        <v>1.4999999999999998E-3</v>
      </c>
      <c r="K17" s="28">
        <f>E17*10%</f>
        <v>0.5</v>
      </c>
      <c r="L17" s="28">
        <v>0</v>
      </c>
      <c r="M17" s="28">
        <f>C17*7%</f>
        <v>0.35000000000000003</v>
      </c>
      <c r="N17" s="28">
        <f>E17*32%</f>
        <v>1.6</v>
      </c>
      <c r="O17" s="28">
        <f>E17*12%</f>
        <v>0.6</v>
      </c>
      <c r="P17" s="28">
        <f>E17*0.7%</f>
        <v>3.4999999999999996E-2</v>
      </c>
      <c r="Q17" s="28">
        <v>110</v>
      </c>
      <c r="R17" s="28">
        <f t="shared" si="1"/>
        <v>0.55000000000000004</v>
      </c>
    </row>
    <row r="18" spans="1:18" s="11" customFormat="1" ht="18.75" x14ac:dyDescent="0.25">
      <c r="A18" s="21"/>
      <c r="B18" s="35" t="s">
        <v>38</v>
      </c>
      <c r="C18" s="28">
        <v>45</v>
      </c>
      <c r="D18" s="28">
        <v>0</v>
      </c>
      <c r="E18" s="28">
        <f>C18-D18</f>
        <v>45</v>
      </c>
      <c r="F18" s="28">
        <f>E18*23%</f>
        <v>10.35</v>
      </c>
      <c r="G18" s="28">
        <f>E18*1.6%</f>
        <v>0.72</v>
      </c>
      <c r="H18" s="28">
        <f>E18*50.8%</f>
        <v>22.86</v>
      </c>
      <c r="I18" s="28">
        <f>E18*314%</f>
        <v>141.30000000000001</v>
      </c>
      <c r="J18" s="28">
        <f>E18*0.9%</f>
        <v>0.40500000000000003</v>
      </c>
      <c r="K18" s="28">
        <v>0</v>
      </c>
      <c r="L18" s="28">
        <v>0</v>
      </c>
      <c r="M18" s="28">
        <f>E18*89%</f>
        <v>40.049999999999997</v>
      </c>
      <c r="N18" s="28">
        <f>E18*226%</f>
        <v>101.69999999999999</v>
      </c>
      <c r="O18" s="28">
        <f>E18*88%</f>
        <v>39.6</v>
      </c>
      <c r="P18" s="28">
        <f>E18*7%</f>
        <v>3.1500000000000004</v>
      </c>
      <c r="Q18" s="28">
        <v>58</v>
      </c>
      <c r="R18" s="22">
        <f t="shared" si="1"/>
        <v>2.61</v>
      </c>
    </row>
    <row r="19" spans="1:18" s="12" customFormat="1" ht="18.75" x14ac:dyDescent="0.25">
      <c r="A19" s="38"/>
      <c r="B19" s="39" t="s">
        <v>19</v>
      </c>
      <c r="C19" s="40">
        <f>C18+C16+C15+C14+C13</f>
        <v>132</v>
      </c>
      <c r="D19" s="40">
        <f t="shared" ref="D19" si="2">SUM(D13:D18)</f>
        <v>16.97</v>
      </c>
      <c r="E19" s="40">
        <v>250</v>
      </c>
      <c r="F19" s="40">
        <f t="shared" ref="F19:P19" si="3">SUM(F13:F18)</f>
        <v>11.480919999999999</v>
      </c>
      <c r="G19" s="40">
        <f t="shared" si="3"/>
        <v>9.1170000000000009</v>
      </c>
      <c r="H19" s="40">
        <f t="shared" si="3"/>
        <v>30.779730000000001</v>
      </c>
      <c r="I19" s="40">
        <f t="shared" si="3"/>
        <v>253.50480000000005</v>
      </c>
      <c r="J19" s="40">
        <f t="shared" si="3"/>
        <v>0.46134000000000003</v>
      </c>
      <c r="K19" s="40">
        <f t="shared" si="3"/>
        <v>9.2779999999999987</v>
      </c>
      <c r="L19" s="40">
        <f t="shared" si="3"/>
        <v>5.8999999999999997E-2</v>
      </c>
      <c r="M19" s="40">
        <f t="shared" si="3"/>
        <v>55.521799999999999</v>
      </c>
      <c r="N19" s="40">
        <f t="shared" si="3"/>
        <v>139.6574</v>
      </c>
      <c r="O19" s="40">
        <f t="shared" si="3"/>
        <v>54.561700000000002</v>
      </c>
      <c r="P19" s="40">
        <f t="shared" si="3"/>
        <v>3.7069900000000002</v>
      </c>
      <c r="Q19" s="40"/>
      <c r="R19" s="40">
        <f>SUM(R12:R18)</f>
        <v>38.529999999999994</v>
      </c>
    </row>
    <row r="20" spans="1:18" s="13" customFormat="1" ht="21" x14ac:dyDescent="0.35">
      <c r="A20" s="5"/>
      <c r="B20" s="44" t="s">
        <v>39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6"/>
    </row>
    <row r="21" spans="1:18" s="13" customFormat="1" ht="18.75" x14ac:dyDescent="0.3">
      <c r="A21" s="5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41">
        <f>C21/1000*50</f>
        <v>2.5</v>
      </c>
    </row>
    <row r="22" spans="1:18" s="6" customFormat="1" ht="21" x14ac:dyDescent="0.35">
      <c r="A22" s="42"/>
      <c r="B22" s="47" t="s">
        <v>20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s="13" customFormat="1" ht="18.75" x14ac:dyDescent="0.3">
      <c r="A23" s="5"/>
      <c r="B23" s="2" t="s">
        <v>21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s="13" customFormat="1" ht="18.75" x14ac:dyDescent="0.3">
      <c r="A24" s="16"/>
      <c r="B24" s="2" t="s">
        <v>22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.75" x14ac:dyDescent="0.3">
      <c r="A25" s="16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4">SUM(F24:F24)</f>
        <v>0</v>
      </c>
      <c r="G25" s="3">
        <f t="shared" si="4"/>
        <v>0</v>
      </c>
      <c r="H25" s="3">
        <f t="shared" si="4"/>
        <v>14.97</v>
      </c>
      <c r="I25" s="3">
        <f t="shared" si="4"/>
        <v>56.85</v>
      </c>
      <c r="J25" s="3">
        <f t="shared" si="4"/>
        <v>0</v>
      </c>
      <c r="K25" s="3">
        <f t="shared" si="4"/>
        <v>0</v>
      </c>
      <c r="L25" s="3">
        <f t="shared" si="4"/>
        <v>0</v>
      </c>
      <c r="M25" s="3">
        <f t="shared" si="4"/>
        <v>0.3</v>
      </c>
      <c r="N25" s="3">
        <f t="shared" si="4"/>
        <v>0</v>
      </c>
      <c r="O25" s="3">
        <f t="shared" si="4"/>
        <v>0</v>
      </c>
      <c r="P25" s="3">
        <f t="shared" si="4"/>
        <v>4.4999999999999998E-2</v>
      </c>
      <c r="Q25" s="3"/>
      <c r="R25" s="3">
        <f>SUM(R23:R24)</f>
        <v>1.5499999999999998</v>
      </c>
    </row>
    <row r="26" spans="1:18" ht="21" x14ac:dyDescent="0.35">
      <c r="A26" s="5"/>
      <c r="B26" s="50" t="s">
        <v>40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2"/>
    </row>
    <row r="27" spans="1:18" ht="18.75" x14ac:dyDescent="0.3">
      <c r="A27" s="5"/>
      <c r="B27" s="4" t="s">
        <v>19</v>
      </c>
      <c r="C27" s="3">
        <v>155</v>
      </c>
      <c r="D27" s="3">
        <v>0</v>
      </c>
      <c r="E27" s="3">
        <f>C27-D27</f>
        <v>155</v>
      </c>
      <c r="F27" s="3">
        <f>E27*0.4%</f>
        <v>0.62</v>
      </c>
      <c r="G27" s="3">
        <f>E27*0.4%</f>
        <v>0.62</v>
      </c>
      <c r="H27" s="3">
        <f>E27*9.8%</f>
        <v>15.190000000000001</v>
      </c>
      <c r="I27" s="3">
        <f>E27*45%</f>
        <v>69.75</v>
      </c>
      <c r="J27" s="3">
        <f>E27*0.03%</f>
        <v>4.6499999999999993E-2</v>
      </c>
      <c r="K27" s="3">
        <f>E27*13%</f>
        <v>20.150000000000002</v>
      </c>
      <c r="L27" s="3">
        <v>0</v>
      </c>
      <c r="M27" s="3">
        <f>E27*16%</f>
        <v>24.8</v>
      </c>
      <c r="N27" s="3">
        <f>E27*11%</f>
        <v>17.05</v>
      </c>
      <c r="O27" s="3">
        <f>E27*9%</f>
        <v>13.95</v>
      </c>
      <c r="P27" s="3">
        <f>E27*2.2%</f>
        <v>3.41</v>
      </c>
      <c r="Q27" s="3">
        <v>100</v>
      </c>
      <c r="R27" s="3">
        <f>C27/1000*Q27</f>
        <v>15.5</v>
      </c>
    </row>
    <row r="28" spans="1:18" ht="21" x14ac:dyDescent="0.35">
      <c r="A28" s="5"/>
      <c r="B28" s="53" t="s">
        <v>41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5"/>
    </row>
    <row r="29" spans="1:18" ht="18.75" x14ac:dyDescent="0.3">
      <c r="A29" s="5"/>
      <c r="B29" s="4" t="s">
        <v>19</v>
      </c>
      <c r="C29" s="3">
        <v>3</v>
      </c>
      <c r="D29" s="3">
        <v>0</v>
      </c>
      <c r="E29" s="3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3">
        <f>C29/1000*Q29</f>
        <v>0.03</v>
      </c>
    </row>
    <row r="30" spans="1:18" ht="23.25" x14ac:dyDescent="0.35">
      <c r="A30" s="5"/>
      <c r="B30" s="43" t="s">
        <v>19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>
        <f>R29+R27+R25+R21+R19+R10</f>
        <v>60.989999999999995</v>
      </c>
    </row>
  </sheetData>
  <mergeCells count="25">
    <mergeCell ref="G2:G4"/>
    <mergeCell ref="H2:H4"/>
    <mergeCell ref="I2:I4"/>
    <mergeCell ref="P3:P4"/>
    <mergeCell ref="L3:L4"/>
    <mergeCell ref="M3:M4"/>
    <mergeCell ref="N3:N4"/>
    <mergeCell ref="J2:L2"/>
    <mergeCell ref="O3:O4"/>
    <mergeCell ref="B20:R20"/>
    <mergeCell ref="B22:R22"/>
    <mergeCell ref="B26:R26"/>
    <mergeCell ref="B28:R28"/>
    <mergeCell ref="J3:J4"/>
    <mergeCell ref="K3:K4"/>
    <mergeCell ref="C3:C4"/>
    <mergeCell ref="A5:R5"/>
    <mergeCell ref="B11:R11"/>
    <mergeCell ref="B2:B3"/>
    <mergeCell ref="R2:R4"/>
    <mergeCell ref="D2:D4"/>
    <mergeCell ref="E2:E4"/>
    <mergeCell ref="Q2:Q4"/>
    <mergeCell ref="M2:P2"/>
    <mergeCell ref="F2:F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2022-11-16T15:20:31Z</dcterms:modified>
</cp:coreProperties>
</file>